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5rKu1y4J7d0xvsMRViqUd/mzujQM7KWwC9+5ZcGhlgdEPS61CefLTeEAa5SAwBPGNVdjKB1kpdjDizA7Hrqkw==" workbookSaltValue="6SBvnZmDNwF3XvMLko9O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Y17" i="11"/>
  <c r="EL19" i="8"/>
  <c r="BE12" i="21"/>
  <c r="EQ19" i="8"/>
  <c r="E11" i="12"/>
  <c r="EN19" i="8"/>
  <c r="BA13" i="16"/>
  <c r="N11" i="11"/>
  <c r="ES19" i="8"/>
  <c r="L19" i="8"/>
  <c r="BM19" i="8"/>
  <c r="BK19" i="8"/>
  <c r="EP19" i="8"/>
  <c r="AL13" i="16"/>
  <c r="AJ13" i="16"/>
  <c r="T9" i="11"/>
  <c r="BH11" i="16"/>
  <c r="BH17" i="16"/>
  <c r="BM16" i="11"/>
  <c r="BL17" i="11"/>
  <c r="BF10" i="11"/>
  <c r="S13" i="16"/>
  <c r="H18" i="16"/>
  <c r="BN18" i="16"/>
  <c r="P13" i="16"/>
  <c r="AM13" i="20"/>
  <c r="AN13" i="20"/>
  <c r="AT17" i="20"/>
  <c r="Z13" i="17"/>
  <c r="M13" i="2"/>
  <c r="T13" i="12"/>
  <c r="BK15" i="11"/>
  <c r="AP10" i="21"/>
  <c r="BH9" i="11"/>
  <c r="BJ11" i="11"/>
  <c r="BI17" i="11"/>
  <c r="BL11" i="11"/>
  <c r="BM15" i="11"/>
  <c r="BU15" i="17"/>
  <c r="BW17" i="20"/>
  <c r="BW16" i="20"/>
  <c r="BW15" i="20"/>
  <c r="BV10" i="16"/>
  <c r="BU16" i="17"/>
  <c r="AA17" i="16"/>
  <c r="X15" i="17"/>
  <c r="S15" i="16"/>
  <c r="BF12" i="11"/>
  <c r="BL10" i="11"/>
  <c r="BJ10" i="11"/>
  <c r="BH11" i="11"/>
  <c r="S17" i="17"/>
  <c r="BH12" i="16"/>
  <c r="T13" i="20"/>
  <c r="BD9" i="8"/>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A19" i="8" l="1"/>
  <c r="F17" i="16"/>
  <c r="BL17" i="16" s="1"/>
  <c r="D18" i="12"/>
  <c r="AM19" i="8"/>
  <c r="AC19" i="8"/>
  <c r="AK19" i="8"/>
  <c r="AI19" i="8"/>
  <c r="BG12" i="8"/>
  <c r="K12" i="7" s="1"/>
  <c r="BE12" i="8"/>
  <c r="R19" i="8"/>
  <c r="BG10" i="8"/>
  <c r="T19" i="8"/>
  <c r="H9" i="7"/>
  <c r="F17" i="17"/>
  <c r="AQ17" i="17" s="1"/>
  <c r="E12" i="6"/>
  <c r="X12" i="2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5" i="14"/>
  <c r="V15" i="14" s="1"/>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BF11" i="11"/>
  <c r="T15" i="11"/>
  <c r="AA10" i="16"/>
  <c r="X12" i="17"/>
  <c r="S12" i="14"/>
  <c r="V12" i="14" s="1"/>
  <c r="S16" i="14"/>
  <c r="V16" i="14" s="1"/>
  <c r="R17" i="14"/>
  <c r="T11" i="11"/>
  <c r="S11" i="14"/>
  <c r="V11" i="14" s="1"/>
  <c r="X16" i="17"/>
  <c r="X10" i="17"/>
  <c r="X17" i="17"/>
  <c r="T17" i="20"/>
  <c r="X17" i="20"/>
  <c r="U10" i="21"/>
  <c r="V12" i="21"/>
  <c r="AA12" i="21"/>
  <c r="X16" i="20"/>
  <c r="L11" i="2"/>
  <c r="X9" i="16"/>
  <c r="X19" i="16" s="1"/>
  <c r="V15" i="20"/>
  <c r="V18" i="20" s="1"/>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I9" i="7"/>
  <c r="H12"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J12" i="12"/>
  <c r="I10" i="12"/>
  <c r="BK13"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E20" i="12"/>
  <c r="U20" i="17"/>
  <c r="V20" i="21"/>
  <c r="Z20" i="17"/>
  <c r="M20" i="17"/>
  <c r="AN20" i="21"/>
  <c r="AK20" i="17"/>
  <c r="H20" i="21"/>
  <c r="BM20" i="16"/>
  <c r="AW20" i="16"/>
  <c r="H20" i="16"/>
  <c r="AJ20" i="11"/>
  <c r="AL20" i="11"/>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21"/>
  <c r="AN20" i="17"/>
  <c r="H20" i="12"/>
  <c r="W20" i="16"/>
  <c r="AO20" i="17"/>
  <c r="AB20" i="11"/>
  <c r="X20" i="16"/>
  <c r="S20" i="17"/>
  <c r="AJ20" i="17"/>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<sst xmlns="http://schemas.openxmlformats.org/spreadsheetml/2006/main" count="2094" uniqueCount="913">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</sst>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qB2oVuXIqIKeP3QoeOcppcinhOjyC0lG6WZak1Ynr3gJqe7dWDpgWOZqLVA+ZqYSB2V/CYJSwNweZJN8oBQmQ==" saltValue="ySvBQRWl1SMFobFLTbIz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7</v>
      </c>
      <c r="F10" s="229">
        <f>IF(ISNUMBER(Datos!K10),Datos!K10," - ")</f>
        <v>7</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40.973849372384933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7</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2187</v>
      </c>
      <c r="D16" s="228">
        <f>IF(ISNUMBER(IF(D_I="SI",Datos!I16,Datos!I16+Datos!AC16)),IF(D_I="SI",Datos!I16,Datos!I16+Datos!AC16)," - ")</f>
        <v>2187</v>
      </c>
      <c r="E16" s="229">
        <f>IF(ISNUMBER(IF(D_I="SI",Datos!J16,Datos!J16+Datos!AD16)),IF(D_I="SI",Datos!J16,Datos!J16+Datos!AD16)," - ")</f>
        <v>2819</v>
      </c>
      <c r="F16" s="229">
        <f>IF(ISNUMBER(IF(D_I="SI",Datos!K16,Datos!K16+Datos!AE16)),IF(D_I="SI",Datos!K16,Datos!K16+Datos!AE16)," - ")</f>
        <v>2665</v>
      </c>
      <c r="G16" s="1037" t="str">
        <f>IF(Datos!E16&lt;&gt;"",Datos!E16,Datos!D16)</f>
        <v>04</v>
      </c>
      <c r="H16" s="230">
        <f>IF(ISNUMBER(IF(D_I="SI",Datos!L16,Datos!L16+Datos!AF16)),IF(D_I="SI",Datos!L16,Datos!L16+Datos!AF16)," - ")</f>
        <v>2341</v>
      </c>
      <c r="I16" s="1047" t="str">
        <f>IF(ISNUMBER(Datos!AS16/Datos!BM16),Datos!AS16/Datos!BM16," - ")</f>
        <v xml:space="preserve"> - </v>
      </c>
      <c r="J16" s="1048">
        <f>IF(ISNUMBER(Datos!BY16/Datos!CN16),Datos!BY16/Datos!CN16," - ")</f>
        <v>0</v>
      </c>
      <c r="K16" s="233">
        <f t="shared" si="3"/>
        <v>7.0416095107453128E-2</v>
      </c>
      <c r="L16" s="1028">
        <f>IF(ISNUMBER(NºAsuntos!I16/NºAsuntos!G16),(NºAsuntos!I16/NºAsuntos!G16)*11," - ")</f>
        <v>9.6626641651031893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67</v>
      </c>
      <c r="D17" s="228">
        <f>IF(ISNUMBER(IF(D_I="SI",Datos!I17,Datos!I17+Datos!AC17)),IF(D_I="SI",Datos!I17,Datos!I17+Datos!AC17)," - ")</f>
        <v>67</v>
      </c>
      <c r="E17" s="229">
        <f>IF(ISNUMBER(IF(D_I="SI",Datos!J17,Datos!J17+Datos!AD17)),IF(D_I="SI",Datos!J17,Datos!J17+Datos!AD17)," - ")</f>
        <v>128</v>
      </c>
      <c r="F17" s="229">
        <f>IF(ISNUMBER(IF(D_I="SI",Datos!K17,Datos!K17+Datos!AE17)),IF(D_I="SI",Datos!K17,Datos!K17+Datos!AE17)," - ")</f>
        <v>127</v>
      </c>
      <c r="G17" s="1037" t="str">
        <f>IF(Datos!E17&lt;&gt;"",Datos!E17,Datos!D17)</f>
        <v>37</v>
      </c>
      <c r="H17" s="230">
        <f>IF(ISNUMBER(IF(D_I="SI",Datos!L17,Datos!L17+Datos!AF17)),IF(D_I="SI",Datos!L17,Datos!L17+Datos!AF17)," - ")</f>
        <v>68</v>
      </c>
      <c r="I17" s="1047" t="str">
        <f>IF(ISNUMBER(Datos!AS17/Datos!BM17),Datos!AS17/Datos!BM17," - ")</f>
        <v xml:space="preserve"> - </v>
      </c>
      <c r="J17" s="1048" t="str">
        <f>IF(ISNUMBER((Datos!BY17+Datos!BZ17)/Datos!CN17),(Datos!BY17+Datos!BZ17)/Datos!CN17," - ")</f>
        <v xml:space="preserve"> - </v>
      </c>
      <c r="K17" s="233">
        <f t="shared" si="3"/>
        <v>1.4925373134328358E-2</v>
      </c>
      <c r="L17" s="1028">
        <f>IF(ISNUMBER(NºAsuntos!I17/NºAsuntos!G17),(NºAsuntos!I17/NºAsuntos!G17)*11," - ")</f>
        <v>5.8897637795275593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2254</v>
      </c>
      <c r="D18" s="1052">
        <f>SUBTOTAL(9,D15:D17)</f>
        <v>2254</v>
      </c>
      <c r="E18" s="1053">
        <f>SUBTOTAL(9,E15:E17)</f>
        <v>2947</v>
      </c>
      <c r="F18" s="1053">
        <f>SUBTOTAL(9,F15:F17)</f>
        <v>2792</v>
      </c>
      <c r="G18" s="1055" t="str">
        <f ca="1">INDIRECT(CONCATENATE("G",ROW()-1))</f>
        <v>37</v>
      </c>
      <c r="H18" s="1056">
        <f ca="1">SUMIF(G$14:G17,G18,H$14:H17)</f>
        <v>68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2261</v>
      </c>
      <c r="D19" s="1074">
        <f>SUBTOTAL(9,D9:D18)</f>
        <v>2261</v>
      </c>
      <c r="E19" s="1075">
        <f>SUBTOTAL(9,E9:E18)</f>
        <v>2954</v>
      </c>
      <c r="F19" s="1075">
        <f>SUBTOTAL(9,F9:F18)</f>
        <v>2799</v>
      </c>
      <c r="G19" s="1076"/>
      <c r="H19" s="1077">
        <f ca="1">SUMIF(B9:B18,"TOTAL",H9:H18)</f>
        <v>68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zMr/fKdZDk0OaOhh1E+Ty/xu3I2gSG//ijgBmmK/TGo66Ij9LAx2LpzJD5QcmFD3xCrAJwi8rH1/ViMeGwJZw==" saltValue="MoB+LqOy22K+MxoUlG8/W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Q9KxMDqSCnldrsj/mpUXp0r/ujarhKYE2IbrEePYAPRaeMI5OGbjAZ9YzS/WCBG/SpTnrb4Q6Id44tJGgOtHA==" saltValue="YApFnE6Fmu3sI0aFgPd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7</v>
      </c>
      <c r="K10" s="184">
        <v>7</v>
      </c>
      <c r="L10" s="184">
        <v>7</v>
      </c>
      <c r="M10" s="184">
        <v>5</v>
      </c>
      <c r="N10" s="184">
        <v>2</v>
      </c>
      <c r="O10" s="184">
        <v>0</v>
      </c>
      <c r="P10" s="184">
        <v>0</v>
      </c>
      <c r="Q10" s="184">
        <v>0</v>
      </c>
      <c r="R10" s="184">
        <v>0</v>
      </c>
      <c r="S10" s="184">
        <v>9</v>
      </c>
      <c r="T10" s="184">
        <v>1</v>
      </c>
      <c r="U10" s="184">
        <v>2</v>
      </c>
      <c r="V10" s="184">
        <v>8</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v>
      </c>
      <c r="AZ10" s="129">
        <f t="shared" si="0"/>
        <v>1</v>
      </c>
      <c r="BA10" s="129">
        <f t="shared" si="0"/>
        <v>2</v>
      </c>
      <c r="BB10" s="129">
        <f t="shared" si="0"/>
        <v>8</v>
      </c>
      <c r="BC10" s="125">
        <f t="shared" si="0"/>
        <v>2</v>
      </c>
      <c r="BD10" s="126">
        <f>IF(ISNUMBER(BA10/AZ10),BA10/AZ10," - ")</f>
        <v>2</v>
      </c>
      <c r="BE10" s="127">
        <f>IF(ISNUMBER(BB10/BA10),BB10/BA10, " - ")</f>
        <v>4</v>
      </c>
      <c r="BF10" s="127">
        <f>IF(ISNUMBER(BC10/BA10),BC10/BA10, " - ")</f>
        <v>1</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3553</v>
      </c>
      <c r="J12" s="186">
        <v>807</v>
      </c>
      <c r="K12" s="186">
        <v>874</v>
      </c>
      <c r="L12" s="186">
        <v>3486</v>
      </c>
      <c r="M12" s="186">
        <v>329</v>
      </c>
      <c r="N12" s="186">
        <v>324</v>
      </c>
      <c r="O12" s="184">
        <v>457</v>
      </c>
      <c r="P12" s="186">
        <v>222</v>
      </c>
      <c r="Q12" s="186">
        <v>262</v>
      </c>
      <c r="R12" s="186">
        <v>4897</v>
      </c>
      <c r="S12" s="186">
        <v>2343</v>
      </c>
      <c r="T12" s="186">
        <v>943</v>
      </c>
      <c r="U12" s="186">
        <v>1252</v>
      </c>
      <c r="V12" s="186">
        <v>2915</v>
      </c>
      <c r="W12" s="186">
        <v>276</v>
      </c>
      <c r="X12" s="192">
        <v>477</v>
      </c>
      <c r="Y12" s="194">
        <v>80</v>
      </c>
      <c r="Z12" s="184">
        <v>77</v>
      </c>
      <c r="AA12" s="184">
        <v>82</v>
      </c>
      <c r="AB12" s="184">
        <v>75</v>
      </c>
      <c r="AC12" s="186">
        <v>0</v>
      </c>
      <c r="AD12" s="186">
        <v>0</v>
      </c>
      <c r="AE12" s="186">
        <v>0</v>
      </c>
      <c r="AF12" s="192">
        <v>0</v>
      </c>
      <c r="AG12" s="205">
        <v>100</v>
      </c>
      <c r="AH12" s="186">
        <v>79</v>
      </c>
      <c r="AI12" s="186">
        <v>105</v>
      </c>
      <c r="AJ12" s="206">
        <v>86</v>
      </c>
      <c r="AK12" s="185">
        <v>0</v>
      </c>
      <c r="AL12" s="186">
        <v>0</v>
      </c>
      <c r="AM12" s="186">
        <v>0</v>
      </c>
      <c r="AN12" s="192">
        <v>0</v>
      </c>
      <c r="AO12" s="262">
        <v>5</v>
      </c>
      <c r="AP12" s="158">
        <v>5</v>
      </c>
      <c r="AQ12" s="158">
        <v>5</v>
      </c>
      <c r="AR12" s="157">
        <v>5</v>
      </c>
      <c r="AS12" s="343" t="s">
        <v>807</v>
      </c>
      <c r="AT12" s="206"/>
      <c r="AU12" s="205"/>
      <c r="AV12" s="206"/>
      <c r="AW12" s="205"/>
      <c r="AX12" s="206"/>
      <c r="AY12" s="126">
        <f t="shared" si="1"/>
        <v>2443</v>
      </c>
      <c r="AZ12" s="127">
        <f t="shared" si="1"/>
        <v>1022</v>
      </c>
      <c r="BA12" s="127">
        <f t="shared" si="1"/>
        <v>1357</v>
      </c>
      <c r="BB12" s="127">
        <f t="shared" si="1"/>
        <v>3001</v>
      </c>
      <c r="BC12" s="125">
        <f>IF(ISNUMBER(X12),X12," - ")</f>
        <v>477</v>
      </c>
      <c r="BD12" s="126">
        <f t="shared" si="2"/>
        <v>1.3277886497064579</v>
      </c>
      <c r="BE12" s="127">
        <f t="shared" si="3"/>
        <v>2.2114959469417834</v>
      </c>
      <c r="BF12" s="127">
        <f t="shared" si="4"/>
        <v>0.35151068533529845</v>
      </c>
      <c r="BG12" s="199">
        <f t="shared" si="5"/>
        <v>2.5534266764922622</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3560</v>
      </c>
      <c r="J13" s="187">
        <f t="shared" si="6"/>
        <v>814</v>
      </c>
      <c r="K13" s="187">
        <f t="shared" si="6"/>
        <v>881</v>
      </c>
      <c r="L13" s="187">
        <f t="shared" si="6"/>
        <v>3493</v>
      </c>
      <c r="M13" s="187">
        <f t="shared" si="6"/>
        <v>334</v>
      </c>
      <c r="N13" s="187">
        <f t="shared" si="6"/>
        <v>326</v>
      </c>
      <c r="O13" s="187">
        <f t="shared" si="6"/>
        <v>457</v>
      </c>
      <c r="P13" s="187">
        <f t="shared" si="6"/>
        <v>222</v>
      </c>
      <c r="Q13" s="187">
        <f t="shared" si="6"/>
        <v>262</v>
      </c>
      <c r="R13" s="187">
        <f t="shared" si="6"/>
        <v>4897</v>
      </c>
      <c r="S13" s="187">
        <f t="shared" si="6"/>
        <v>2352</v>
      </c>
      <c r="T13" s="187">
        <f t="shared" si="6"/>
        <v>944</v>
      </c>
      <c r="U13" s="187">
        <f t="shared" si="6"/>
        <v>1254</v>
      </c>
      <c r="V13" s="187">
        <f t="shared" si="6"/>
        <v>2923</v>
      </c>
      <c r="W13" s="187">
        <f t="shared" si="6"/>
        <v>278</v>
      </c>
      <c r="X13" s="187">
        <f t="shared" si="6"/>
        <v>477</v>
      </c>
      <c r="Y13" s="187">
        <f t="shared" si="6"/>
        <v>80</v>
      </c>
      <c r="Z13" s="187">
        <f t="shared" si="6"/>
        <v>77</v>
      </c>
      <c r="AA13" s="187">
        <f t="shared" si="6"/>
        <v>82</v>
      </c>
      <c r="AB13" s="187">
        <f t="shared" si="6"/>
        <v>75</v>
      </c>
      <c r="AC13" s="187">
        <f t="shared" si="6"/>
        <v>0</v>
      </c>
      <c r="AD13" s="187">
        <f t="shared" si="6"/>
        <v>0</v>
      </c>
      <c r="AE13" s="187">
        <f t="shared" si="6"/>
        <v>0</v>
      </c>
      <c r="AF13" s="187">
        <f>SUBTOTAL(9,AF9:AF12)</f>
        <v>0</v>
      </c>
      <c r="AG13" s="187">
        <f t="shared" ref="AG13:AT13" si="7">SUBTOTAL(9,AG8:AG12)</f>
        <v>100</v>
      </c>
      <c r="AH13" s="187">
        <f t="shared" si="7"/>
        <v>79</v>
      </c>
      <c r="AI13" s="187">
        <f t="shared" si="7"/>
        <v>105</v>
      </c>
      <c r="AJ13" s="187">
        <f t="shared" si="7"/>
        <v>86</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2452</v>
      </c>
      <c r="AZ13" s="187">
        <f>SUBTOTAL(9,AZ8:AZ12)</f>
        <v>1023</v>
      </c>
      <c r="BA13" s="187">
        <f>SUBTOTAL(9,BA8:BA12)</f>
        <v>1359</v>
      </c>
      <c r="BB13" s="187">
        <f>SUBTOTAL(9,BB8:BB12)</f>
        <v>3009</v>
      </c>
      <c r="BC13" s="187">
        <f>SUBTOTAL(9,BC8:BC12)</f>
        <v>479</v>
      </c>
      <c r="BD13" s="208">
        <f>IF(ISNUMBER(BA13/AZ13),BA13/AZ13," - ")</f>
        <v>1.3284457478005864</v>
      </c>
      <c r="BE13" s="209">
        <f>IF(ISNUMBER(BB13/BA13),BB13/BA13, " - ")</f>
        <v>2.2141280353200883</v>
      </c>
      <c r="BF13" s="209">
        <f>IF(ISNUMBER(BC13/BA13),BC13/BA13, " - ")</f>
        <v>0.35246504782928623</v>
      </c>
      <c r="BG13" s="210">
        <f>IF(ISNUMBER((AY13+AZ13)/BA13),(AY13+AZ13)/BA13," - ")</f>
        <v>2.5570272259013982</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2187</v>
      </c>
      <c r="J16" s="186">
        <v>2819</v>
      </c>
      <c r="K16" s="186">
        <v>2665</v>
      </c>
      <c r="L16" s="186">
        <v>2341</v>
      </c>
      <c r="M16" s="186">
        <v>175</v>
      </c>
      <c r="N16" s="186">
        <v>2190</v>
      </c>
      <c r="O16" s="184">
        <v>11</v>
      </c>
      <c r="P16" s="186">
        <v>22</v>
      </c>
      <c r="Q16" s="186">
        <v>18</v>
      </c>
      <c r="R16" s="186">
        <v>80</v>
      </c>
      <c r="S16" s="186">
        <v>1450</v>
      </c>
      <c r="T16" s="186">
        <v>3125</v>
      </c>
      <c r="U16" s="186">
        <v>2978</v>
      </c>
      <c r="V16" s="186">
        <v>1652</v>
      </c>
      <c r="W16" s="186">
        <v>118</v>
      </c>
      <c r="X16" s="192">
        <v>2428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5</v>
      </c>
      <c r="AP16" s="158">
        <v>5</v>
      </c>
      <c r="AQ16" s="158">
        <v>5</v>
      </c>
      <c r="AR16" s="158">
        <v>5</v>
      </c>
      <c r="AS16" s="343" t="s">
        <v>491</v>
      </c>
      <c r="AT16" s="206"/>
      <c r="AU16" s="205"/>
      <c r="AV16" s="206"/>
      <c r="AW16" s="205"/>
      <c r="AX16" s="206"/>
      <c r="AY16" s="126">
        <f t="shared" si="9"/>
        <v>1450</v>
      </c>
      <c r="AZ16" s="127">
        <f t="shared" si="9"/>
        <v>3125</v>
      </c>
      <c r="BA16" s="127">
        <f t="shared" si="9"/>
        <v>2978</v>
      </c>
      <c r="BB16" s="127">
        <f t="shared" si="9"/>
        <v>1652</v>
      </c>
      <c r="BC16" s="125">
        <f>IF(ISNUMBER(W16),W16," - ")</f>
        <v>118</v>
      </c>
      <c r="BD16" s="126">
        <f t="shared" ref="BD16" si="11">IF(ISNUMBER(BA16/AZ16),BA16/AZ16," - ")</f>
        <v>0.95296000000000003</v>
      </c>
      <c r="BE16" s="127">
        <f t="shared" ref="BE16" si="12">IF(ISNUMBER(BB16/BA16),BB16/BA16, " - ")</f>
        <v>0.554734721289456</v>
      </c>
      <c r="BF16" s="127">
        <f t="shared" ref="BF16" si="13">IF(ISNUMBER(BC16/BA16),BC16/BA16, " - ")</f>
        <v>3.9623908663532575E-2</v>
      </c>
      <c r="BG16" s="199">
        <f t="shared" si="10"/>
        <v>1.5362659503022162</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67</v>
      </c>
      <c r="J17" s="186">
        <v>128</v>
      </c>
      <c r="K17" s="186">
        <v>127</v>
      </c>
      <c r="L17" s="186">
        <v>68</v>
      </c>
      <c r="M17" s="186">
        <v>19</v>
      </c>
      <c r="N17" s="186">
        <v>88</v>
      </c>
      <c r="O17" s="186">
        <v>0</v>
      </c>
      <c r="P17" s="186">
        <v>1</v>
      </c>
      <c r="Q17" s="186">
        <v>5</v>
      </c>
      <c r="R17" s="186">
        <v>2</v>
      </c>
      <c r="S17" s="186">
        <v>68</v>
      </c>
      <c r="T17" s="186">
        <v>105</v>
      </c>
      <c r="U17" s="186">
        <v>91</v>
      </c>
      <c r="V17" s="186">
        <v>82</v>
      </c>
      <c r="W17" s="186">
        <v>12</v>
      </c>
      <c r="X17" s="192">
        <v>68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68</v>
      </c>
      <c r="AZ17" s="129">
        <f t="shared" si="14"/>
        <v>105</v>
      </c>
      <c r="BA17" s="129">
        <f t="shared" si="14"/>
        <v>91</v>
      </c>
      <c r="BB17" s="129">
        <f t="shared" si="14"/>
        <v>82</v>
      </c>
      <c r="BC17" s="125">
        <f>IF(ISNUMBER(W17),W17," - ")</f>
        <v>12</v>
      </c>
      <c r="BD17" s="126">
        <f>IF(ISNUMBER(BA17/AZ17),BA17/AZ17," - ")</f>
        <v>0.8666666666666667</v>
      </c>
      <c r="BE17" s="127">
        <f>IF(ISNUMBER(BB17/BA17),BB17/BA17, " - ")</f>
        <v>0.90109890109890112</v>
      </c>
      <c r="BF17" s="127">
        <f>IF(ISNUMBER(BC17/BA17),BC17/BA17, " - ")</f>
        <v>0.13186813186813187</v>
      </c>
      <c r="BG17" s="199">
        <f>IF(ISNUMBER((AY17+AZ17)/BA17),(AY17+AZ17)/BA17," - ")</f>
        <v>1.901098901098901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2254</v>
      </c>
      <c r="J18" s="187">
        <f t="shared" si="15"/>
        <v>2947</v>
      </c>
      <c r="K18" s="187">
        <f t="shared" si="15"/>
        <v>2792</v>
      </c>
      <c r="L18" s="187">
        <f t="shared" si="15"/>
        <v>2409</v>
      </c>
      <c r="M18" s="187">
        <f t="shared" si="15"/>
        <v>194</v>
      </c>
      <c r="N18" s="187">
        <f t="shared" si="15"/>
        <v>2278</v>
      </c>
      <c r="O18" s="187">
        <f t="shared" si="15"/>
        <v>11</v>
      </c>
      <c r="P18" s="187">
        <f t="shared" si="15"/>
        <v>23</v>
      </c>
      <c r="Q18" s="187">
        <f t="shared" si="15"/>
        <v>23</v>
      </c>
      <c r="R18" s="187">
        <f t="shared" si="15"/>
        <v>82</v>
      </c>
      <c r="S18" s="187">
        <f t="shared" si="15"/>
        <v>1518</v>
      </c>
      <c r="T18" s="187">
        <f t="shared" si="15"/>
        <v>3230</v>
      </c>
      <c r="U18" s="187">
        <f t="shared" si="15"/>
        <v>3069</v>
      </c>
      <c r="V18" s="187">
        <f t="shared" si="15"/>
        <v>1734</v>
      </c>
      <c r="W18" s="187">
        <f t="shared" si="15"/>
        <v>130</v>
      </c>
      <c r="X18" s="187">
        <f t="shared" si="15"/>
        <v>2496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1518</v>
      </c>
      <c r="AZ18" s="187">
        <f>SUBTOTAL(9,AZ14:AZ17)</f>
        <v>3230</v>
      </c>
      <c r="BA18" s="187">
        <f>SUBTOTAL(9,BA14:BA17)</f>
        <v>3069</v>
      </c>
      <c r="BB18" s="187">
        <f>SUBTOTAL(9,BB14:BB17)</f>
        <v>1734</v>
      </c>
      <c r="BC18" s="187">
        <f>SUBTOTAL(9,BC14:BC17)</f>
        <v>130</v>
      </c>
      <c r="BD18" s="208">
        <f>IF(ISNUMBER(BA18/AZ18),BA18/AZ18," - ")</f>
        <v>0.95015479876160991</v>
      </c>
      <c r="BE18" s="209">
        <f>IF(ISNUMBER(BB18/BA18),BB18/BA18, " - ")</f>
        <v>0.5650048875855328</v>
      </c>
      <c r="BF18" s="209">
        <f>IF(ISNUMBER(BC18/BA18),BC18/BA18, " - ")</f>
        <v>4.2359074617139135E-2</v>
      </c>
      <c r="BG18" s="210">
        <f>IF(ISNUMBER((AY18+AZ18)/BA18),(AY18+AZ18)/BA18," - ")</f>
        <v>1.5470837406321278</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5814</v>
      </c>
      <c r="J19" s="134">
        <f t="shared" si="18"/>
        <v>3761</v>
      </c>
      <c r="K19" s="134">
        <f t="shared" si="18"/>
        <v>3673</v>
      </c>
      <c r="L19" s="134">
        <f t="shared" si="18"/>
        <v>5902</v>
      </c>
      <c r="M19" s="134">
        <f t="shared" si="18"/>
        <v>528</v>
      </c>
      <c r="N19" s="134">
        <f t="shared" si="18"/>
        <v>2604</v>
      </c>
      <c r="O19" s="134">
        <f t="shared" si="18"/>
        <v>468</v>
      </c>
      <c r="P19" s="134">
        <f t="shared" si="18"/>
        <v>245</v>
      </c>
      <c r="Q19" s="134">
        <f t="shared" si="18"/>
        <v>285</v>
      </c>
      <c r="R19" s="134">
        <f t="shared" si="18"/>
        <v>4979</v>
      </c>
      <c r="S19" s="134">
        <f t="shared" si="18"/>
        <v>3870</v>
      </c>
      <c r="T19" s="134">
        <f t="shared" si="18"/>
        <v>4174</v>
      </c>
      <c r="U19" s="134">
        <f t="shared" si="18"/>
        <v>4323</v>
      </c>
      <c r="V19" s="134">
        <f t="shared" si="18"/>
        <v>4657</v>
      </c>
      <c r="W19" s="134">
        <f t="shared" si="18"/>
        <v>408</v>
      </c>
      <c r="X19" s="134">
        <f t="shared" si="18"/>
        <v>2973</v>
      </c>
      <c r="Y19" s="134">
        <f t="shared" si="18"/>
        <v>80</v>
      </c>
      <c r="Z19" s="134">
        <f t="shared" si="18"/>
        <v>77</v>
      </c>
      <c r="AA19" s="134">
        <f t="shared" si="18"/>
        <v>82</v>
      </c>
      <c r="AB19" s="134">
        <f t="shared" si="18"/>
        <v>75</v>
      </c>
      <c r="AC19" s="134">
        <f t="shared" si="18"/>
        <v>0</v>
      </c>
      <c r="AD19" s="134">
        <f t="shared" si="18"/>
        <v>0</v>
      </c>
      <c r="AE19" s="134">
        <f t="shared" si="18"/>
        <v>0</v>
      </c>
      <c r="AF19" s="134">
        <f t="shared" si="18"/>
        <v>0</v>
      </c>
      <c r="AG19" s="134">
        <f t="shared" si="18"/>
        <v>100</v>
      </c>
      <c r="AH19" s="134">
        <f t="shared" si="18"/>
        <v>79</v>
      </c>
      <c r="AI19" s="134">
        <f t="shared" si="18"/>
        <v>105</v>
      </c>
      <c r="AJ19" s="134">
        <f t="shared" si="18"/>
        <v>86</v>
      </c>
      <c r="AK19" s="134">
        <f t="shared" si="18"/>
        <v>0</v>
      </c>
      <c r="AL19" s="134">
        <f t="shared" si="18"/>
        <v>0</v>
      </c>
      <c r="AM19" s="134">
        <f t="shared" si="18"/>
        <v>0</v>
      </c>
      <c r="AN19" s="213">
        <f t="shared" si="18"/>
        <v>0</v>
      </c>
      <c r="AO19" s="214">
        <v>6</v>
      </c>
      <c r="AP19" s="214">
        <v>5</v>
      </c>
      <c r="AQ19" s="214">
        <v>5</v>
      </c>
      <c r="AR19" s="214">
        <v>5</v>
      </c>
      <c r="AS19" s="156">
        <f t="shared" si="18"/>
        <v>0</v>
      </c>
      <c r="AT19" s="156">
        <f t="shared" si="18"/>
        <v>0</v>
      </c>
      <c r="AU19" s="214"/>
      <c r="AV19" s="215"/>
      <c r="AW19" s="214"/>
      <c r="AX19" s="215"/>
      <c r="AY19" s="133">
        <f>SUBTOTAL(9,AY9:AY18)</f>
        <v>3970</v>
      </c>
      <c r="AZ19" s="134">
        <f>SUBTOTAL(9,AZ9:AZ18)</f>
        <v>4253</v>
      </c>
      <c r="BA19" s="134">
        <f>SUBTOTAL(9,BA9:BA18)</f>
        <v>4428</v>
      </c>
      <c r="BB19" s="134">
        <f>SUBTOTAL(9,BB9:BB18)</f>
        <v>4743</v>
      </c>
      <c r="BC19" s="135">
        <f>SUBTOTAL(9,BC9:BC18)</f>
        <v>609</v>
      </c>
      <c r="BD19" s="216">
        <f>IF(ISNUMBER(BA19/AZ19),BA19/AZ19," - ")</f>
        <v>1.041147425346814</v>
      </c>
      <c r="BE19" s="213">
        <f>IF(ISNUMBER(BB19/BA19),BB19/BA19, " - ")</f>
        <v>1.0711382113821137</v>
      </c>
      <c r="BF19" s="213">
        <f>IF(ISNUMBER(BC19/BA19),BC19/BA19, " - ")</f>
        <v>0.13753387533875339</v>
      </c>
      <c r="BG19" s="135">
        <f>IF(ISNUMBER((AY19+AZ19)/BA19),(AY19+AZ19)/BA19," - ")</f>
        <v>1.8570460704607046</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y1k8rWKwkQpxjpqPx44rq/E1jk15aWxDNQcRK60pwdiy6/BccVc7+oopVrnRXGUl4erCNljlo3dSYXvoarWCQ==" saltValue="yYZFAxo8phuKeouG+IsV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poEqFuMUlf7tZR+4e7wl0a4+yBpojHitPPe3gkxL10AQbzF/9JYgqWJu78G2Fv1ypBe7lVVpdhoXk9uFg1e4g==" saltValue="UzpIDBp8nzd1cnPUU2g7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VELEZ-MALAGA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2</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77</v>
      </c>
      <c r="O12" s="337"/>
      <c r="P12" s="337"/>
      <c r="Q12" s="229">
        <f>IF(ISNUMBER(Datos!P12),Datos!P12,0)</f>
        <v>222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75</v>
      </c>
      <c r="AI12" s="337" t="str">
        <f>IF(ISNUMBER(Datos!CD12),Datos!CD12,"-")</f>
        <v>-</v>
      </c>
      <c r="AJ12" s="337" t="str">
        <f>IF(ISNUMBER(Datos!EN12),Datos!EN12," - ")</f>
        <v xml:space="preserve"> - </v>
      </c>
      <c r="AK12" s="337"/>
      <c r="AL12" s="482"/>
      <c r="AM12" s="338">
        <f>IF(ISNUMBER(Datos!R12),Datos!R12," - ")</f>
        <v>4897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329</v>
      </c>
      <c r="BD12" s="232">
        <f>IF(ISNUMBER(Datos!N12),Datos!N12," - ")</f>
        <v>324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1.0814479638009049</v>
      </c>
      <c r="BH12" s="263">
        <f>IF(ISNUMBER(((IF(J_V="SI",Datos!L12/Datos!K12,(Datos!L12+Datos!AB12)/(Datos!K12+Datos!AA12)))*11)/factor_trimestre),((IF(J_V="SI",Datos!L12/Datos!K12,(Datos!L12+Datos!AB12)/(Datos!K12+Datos!AA12)))*11)/factor_trimestre," - ")</f>
        <v>11.174686192468618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-8.1020862872189583E-3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77</v>
      </c>
      <c r="O13" s="903">
        <f t="shared" si="0"/>
        <v>0</v>
      </c>
      <c r="P13" s="903">
        <f t="shared" si="0"/>
        <v>0</v>
      </c>
      <c r="Q13" s="902">
        <f t="shared" si="0"/>
        <v>222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262</v>
      </c>
      <c r="AD13" s="902">
        <f t="shared" si="1"/>
        <v>0</v>
      </c>
      <c r="AE13" s="902">
        <f t="shared" si="1"/>
        <v>0</v>
      </c>
      <c r="AF13" s="902">
        <f t="shared" si="1"/>
        <v>7</v>
      </c>
      <c r="AG13" s="902">
        <f t="shared" si="1"/>
        <v>0</v>
      </c>
      <c r="AH13" s="902">
        <f t="shared" si="1"/>
        <v>75</v>
      </c>
      <c r="AI13" s="902">
        <f t="shared" si="1"/>
        <v>0</v>
      </c>
      <c r="AJ13" s="902">
        <f t="shared" si="1"/>
        <v>0</v>
      </c>
      <c r="AK13" s="902">
        <f t="shared" si="1"/>
        <v>0</v>
      </c>
      <c r="AL13" s="902">
        <f t="shared" si="1"/>
        <v>0</v>
      </c>
      <c r="AM13" s="902">
        <f t="shared" si="1"/>
        <v>4897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334</v>
      </c>
      <c r="BD13" s="902">
        <f t="shared" si="1"/>
        <v>326</v>
      </c>
      <c r="BE13" s="902">
        <f t="shared" si="1"/>
        <v>0</v>
      </c>
      <c r="BF13" s="902">
        <f t="shared" si="1"/>
        <v>0</v>
      </c>
      <c r="BG13" s="902">
        <f>IF(ISNUMBER(Datos!K13/Datos!J13),Datos!K13/Datos!J13," - ")</f>
        <v>1.0823095823095823</v>
      </c>
      <c r="BH13" s="906">
        <f>IF(ISNUMBER(((Datos!L13/Datos!K13)*11)/factor_trimestre),((Datos!L13/Datos!K13)*11)/factor_trimestre," - ")</f>
        <v>11.894438138479002</v>
      </c>
      <c r="BI13" s="902">
        <f>IF(ISNUMBER('Resol  Asuntos'!D13/NºAsuntos!G13),'Resol  Asuntos'!D13/NºAsuntos!G13," - ")</f>
        <v>0.34683281412253375</v>
      </c>
      <c r="BJ13" s="902" t="str">
        <f>IF(ISNUMBER(Datos!CI13/Datos!CJ13),Datos!CI13/Datos!CJ13," - ")</f>
        <v xml:space="preserve"> - </v>
      </c>
      <c r="BK13" s="902">
        <f>SUBTOTAL(9,BK8:BK12)</f>
        <v>0</v>
      </c>
      <c r="BL13" s="902">
        <f>IF(ISNUMBER((I13-AB13+L13)/(F13)),(I13-AB13+L13)/(F13)," - ")</f>
        <v>-1</v>
      </c>
      <c r="BM13" s="907">
        <f>SUBTOTAL(9,BM9:BM12)</f>
        <v>-8.1020862872189583E-3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2187</v>
      </c>
      <c r="G16" s="601">
        <f>IF(ISNUMBER(IF(D_I="SI",Datos!I16,Datos!I16+Datos!AC16)),IF(D_I="SI",Datos!I16,Datos!I16+Datos!AC16)," - ")</f>
        <v>2187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2665</v>
      </c>
      <c r="AC16" s="229">
        <f>IF(ISNUMBER(Datos!Q16),Datos!Q16," - ")</f>
        <v>18</v>
      </c>
      <c r="AD16" s="337"/>
      <c r="AE16" s="487"/>
      <c r="AF16" s="599">
        <f>IF(ISNUMBER(IF(D_I="SI",Datos!L16,Datos!L16+Datos!AF16)),IF(D_I="SI",Datos!L16,Datos!L16+Datos!AF16)," - ")</f>
        <v>2341</v>
      </c>
      <c r="AG16" s="337"/>
      <c r="AH16" s="337"/>
      <c r="AI16" s="337"/>
      <c r="AJ16" s="337"/>
      <c r="AK16" s="337"/>
      <c r="AL16" s="482"/>
      <c r="AM16" s="338">
        <f>IF(ISNUMBER(Datos!R16),Datos!R16," - ")</f>
        <v>80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175</v>
      </c>
      <c r="BD16" s="232">
        <f>IF(ISNUMBER(Datos!N16),Datos!N16," - ")</f>
        <v>2190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0.94537069882937208</v>
      </c>
      <c r="BH16" s="263">
        <f>IF(ISNUMBER(((IF(D_I="SI",Datos!L16/Datos!K16,(Datos!L16+Datos!AF16)/(Datos!K16+Datos!AE16)))*11)/factor_trimestre),((IF(D_I="SI",Datos!L16/Datos!K16,(Datos!L16+Datos!AF16)/(Datos!K16+Datos!AE16)))*11)/factor_trimestre," - ")</f>
        <v>2.6352720450281426</v>
      </c>
      <c r="BI16" s="246">
        <f>IF(ISNUMBER('Resol  Asuntos'!D16/NºAsuntos!G16),'Resol  Asuntos'!D16/NºAsuntos!G16," - ")</f>
        <v>6.5666041275797379E-2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127</v>
      </c>
      <c r="AC17" s="229">
        <f>IF(ISNUMBER(Datos!Q17),Datos!Q17," - ")</f>
        <v>5</v>
      </c>
      <c r="AD17" s="337"/>
      <c r="AE17" s="487"/>
      <c r="AF17" s="335">
        <f>IF(ISNUMBER(Datos!L17),Datos!L17,"-")</f>
        <v>68</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88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0.9921875</v>
      </c>
      <c r="BH17" s="263">
        <f>IF(ISNUMBER(((IF(D_I="SI",Datos!L17/Datos!K17,(Datos!L17+Datos!AF17)/(Datos!K17+Datos!AE17)))*11)/factor_trimestre),((IF(D_I="SI",Datos!L17/Datos!K17,(Datos!L17+Datos!AF17)/(Datos!K17+Datos!AE17)))*11)/factor_trimestre," - ")</f>
        <v>1.6062992125984252</v>
      </c>
      <c r="BI17" s="246">
        <f>IF(ISNUMBER('Resol  Asuntos'!D17/NºAsuntos!G17),'Resol  Asuntos'!D17/NºAsuntos!G17," - ")</f>
        <v>0.14960629921259844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2187</v>
      </c>
      <c r="G18" s="901">
        <f>SUBTOTAL(9,G15:G17)</f>
        <v>2254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2792</v>
      </c>
      <c r="AC18" s="902">
        <f t="shared" si="4"/>
        <v>23</v>
      </c>
      <c r="AD18" s="902">
        <f t="shared" si="4"/>
        <v>0</v>
      </c>
      <c r="AE18" s="902">
        <f t="shared" si="4"/>
        <v>0</v>
      </c>
      <c r="AF18" s="902">
        <f t="shared" si="4"/>
        <v>2409</v>
      </c>
      <c r="AG18" s="902">
        <f t="shared" si="4"/>
        <v>0</v>
      </c>
      <c r="AH18" s="902">
        <f t="shared" si="4"/>
        <v>0</v>
      </c>
      <c r="AI18" s="902">
        <f t="shared" si="4"/>
        <v>0</v>
      </c>
      <c r="AJ18" s="902">
        <f t="shared" si="4"/>
        <v>0</v>
      </c>
      <c r="AK18" s="902">
        <f t="shared" si="4"/>
        <v>0</v>
      </c>
      <c r="AL18" s="902">
        <f t="shared" si="4"/>
        <v>0</v>
      </c>
      <c r="AM18" s="902">
        <f t="shared" si="4"/>
        <v>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194</v>
      </c>
      <c r="BD18" s="902">
        <f t="shared" si="4"/>
        <v>2278</v>
      </c>
      <c r="BE18" s="902">
        <f t="shared" si="4"/>
        <v>0</v>
      </c>
      <c r="BF18" s="902">
        <f t="shared" si="4"/>
        <v>0</v>
      </c>
      <c r="BG18" s="902">
        <f>IF(ISNUMBER(Datos!K18/Datos!J18),Datos!K18/Datos!J18," - ")</f>
        <v>0.94740413980318972</v>
      </c>
      <c r="BH18" s="906">
        <f>IF(ISNUMBER(((Datos!L18/Datos!K18)*11)/factor_trimestre),((Datos!L18/Datos!K18)*11)/factor_trimestre," - ")</f>
        <v>2.5884670487106018</v>
      </c>
      <c r="BI18" s="902">
        <f>SUBTOTAL(9,BI15:BI17)</f>
        <v>0.21527234048839583</v>
      </c>
      <c r="BJ18" s="902">
        <f>SUBTOTAL(9,BJ15:BJ17)</f>
        <v>0</v>
      </c>
      <c r="BK18" s="902">
        <f>SUBTOTAL(9,BK15:BK17)</f>
        <v>0</v>
      </c>
      <c r="BL18" s="902">
        <f>IF(ISNUMBER((I18-AB18+L18)/(F18)),(I18-AB18+L18)/(F18)," - ")</f>
        <v>-1.2766346593507087</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2194</v>
      </c>
      <c r="G19" s="823">
        <f t="shared" si="6"/>
        <v>2261</v>
      </c>
      <c r="H19" s="825">
        <f t="shared" si="6"/>
        <v>0</v>
      </c>
      <c r="I19" s="823">
        <f t="shared" si="6"/>
        <v>0</v>
      </c>
      <c r="J19" s="825">
        <f t="shared" si="6"/>
        <v>0</v>
      </c>
      <c r="K19" s="825">
        <f t="shared" si="6"/>
        <v>0</v>
      </c>
      <c r="L19" s="884">
        <f t="shared" si="6"/>
        <v>0</v>
      </c>
      <c r="M19" s="884">
        <f t="shared" si="6"/>
        <v>0</v>
      </c>
      <c r="N19" s="884">
        <f t="shared" si="6"/>
        <v>77</v>
      </c>
      <c r="O19" s="884">
        <f t="shared" si="6"/>
        <v>0</v>
      </c>
      <c r="P19" s="884">
        <f t="shared" si="6"/>
        <v>0</v>
      </c>
      <c r="Q19" s="825">
        <f t="shared" si="6"/>
        <v>245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2799</v>
      </c>
      <c r="AC19" s="824">
        <f t="shared" si="7"/>
        <v>285</v>
      </c>
      <c r="AD19" s="824">
        <f t="shared" si="7"/>
        <v>0</v>
      </c>
      <c r="AE19" s="824">
        <f t="shared" si="7"/>
        <v>0</v>
      </c>
      <c r="AF19" s="831">
        <f t="shared" si="7"/>
        <v>2416</v>
      </c>
      <c r="AG19" s="831">
        <f t="shared" si="7"/>
        <v>0</v>
      </c>
      <c r="AH19" s="831">
        <f t="shared" si="7"/>
        <v>75</v>
      </c>
      <c r="AI19" s="831">
        <f t="shared" si="7"/>
        <v>0</v>
      </c>
      <c r="AJ19" s="824">
        <f t="shared" si="7"/>
        <v>0</v>
      </c>
      <c r="AK19" s="831">
        <f t="shared" si="7"/>
        <v>0</v>
      </c>
      <c r="AL19" s="831">
        <f t="shared" si="7"/>
        <v>0</v>
      </c>
      <c r="AM19" s="831">
        <f t="shared" si="7"/>
        <v>4979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528</v>
      </c>
      <c r="BD19" s="823">
        <f t="shared" si="7"/>
        <v>2604</v>
      </c>
      <c r="BE19" s="823">
        <f t="shared" si="7"/>
        <v>0</v>
      </c>
      <c r="BF19" s="833">
        <f t="shared" si="7"/>
        <v>0</v>
      </c>
      <c r="BG19" s="918">
        <f>IF(ISNUMBER(Datos!K19/Datos!J19),Datos!K19/Datos!J19," - ")</f>
        <v>0.97660196756181872</v>
      </c>
      <c r="BH19" s="918">
        <f>IF(ISNUMBER(((Datos!L19/Datos!K19)*11)/factor_trimestre),((Datos!L19/Datos!K19)*11)/factor_trimestre," - ")</f>
        <v>4.8205826300027228</v>
      </c>
      <c r="BI19" s="816">
        <f>IF(ISNUMBER(Datos!J19/Datos!I19),Datos!J19/Datos!I19," - ")</f>
        <v>0.64688682490540073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-1.2757520510483136</v>
      </c>
      <c r="BM19" s="892">
        <f>IF(ISNUMBER((Datos!P19-Datos!Q19+R19)/(Datos!R19-Datos!P19+Datos!Q19-R19)),(Datos!P19-Datos!Q19+R19)/(Datos!R19-Datos!P19+Datos!Q19-R19)," - ")</f>
        <v>-7.9697150826857945E-3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904.4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1258.623586833384</v>
      </c>
      <c r="G21" s="555">
        <f>IF(ISNUMBER(STDEV(G8:G18)),STDEV(G8:G18),"-")</f>
        <v>1201.9125592155197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1470.2206637100433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143.23965931263589</v>
      </c>
      <c r="BD21" s="554"/>
      <c r="BE21" s="554">
        <f>IF(ISNUMBER(STDEV(BE8:BE18)),STDEV(BE8:BE18),"-")</f>
        <v>0</v>
      </c>
      <c r="BF21" s="559">
        <f>IF(ISNUMBER(STDEV(BF8:BF18)),STDEV(BF8:BF18),"-")</f>
        <v>0</v>
      </c>
      <c r="BG21" s="778">
        <f>IF(ISNUMBER(STDEV(BG8:BG18)),STDEV(BG8:BG18),"-")</f>
        <v>6.1359194635434502E-2</v>
      </c>
      <c r="BH21" s="779">
        <f>IF(ISNUMBER(STDEV(BH8:BH18)),STDEV(BH8:BH18),"-")</f>
        <v>4.7155870047844886</v>
      </c>
      <c r="BI21" s="252">
        <f>IF(ISNUMBER(STDEV(BI8:BI18)),STDEV(BI8:BI18),"-")</f>
        <v>0.11867366009454486</v>
      </c>
      <c r="BJ21" s="233" t="str">
        <f>IF(ISNUMBER(BL21/BM21),BL21/BM21," - ")</f>
        <v xml:space="preserve"> - </v>
      </c>
      <c r="BK21" s="578"/>
      <c r="BL21" s="562">
        <f>IF(ISNUMBER(STDEV(BL8:BL18)),STDEV(BL8:BL18),"-")</f>
        <v>0.19561024353811687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OEZfvLJqRO/lry+tmQmUqkJU3CRF4UXQm+czL16MM8n7/dnNO0g9aq4I6E7OP07ysYt1Sf6vSBPH4QVcuVQlw==" saltValue="LhrJbGKAnNOsZVUzBU15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VELEZ-MALAGA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5</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262</v>
      </c>
      <c r="AA12" s="335" t="str">
        <f>IF(ISNUMBER(IF(J_V="SI",Datos!L12,Datos!L12+Datos!AB12)-IF(Monitorios="SI",Datos!CD12,0)),
                          IF(J_V="SI",Datos!L12,Datos!L12+Datos!AB12)-IF(Monitorios="SI",Datos!CD12,0),
                          " - ")</f>
        <v xml:space="preserve"> - </v>
      </c>
      <c r="AB12" s="337"/>
      <c r="AC12" s="337"/>
      <c r="AD12" s="487"/>
      <c r="AE12" s="487">
        <f>IF(ISNUMBER(Datos!R12),Datos!R12," - ")</f>
        <v>4897</v>
      </c>
      <c r="AF12" s="232" t="str">
        <f>IF(ISNUMBER(Datos!BV12),Datos!BV12," - ")</f>
        <v xml:space="preserve"> - </v>
      </c>
      <c r="AG12" s="228" t="str">
        <f>IF(ISNUMBER(Datos!DV12),Datos!DV12," - ")</f>
        <v xml:space="preserve"> - </v>
      </c>
      <c r="AH12" s="301"/>
      <c r="AI12" s="230"/>
      <c r="AJ12" s="228">
        <f>IF(ISNUMBER(Datos!M12),Datos!M12," - ")</f>
        <v>329</v>
      </c>
      <c r="AK12" s="232">
        <f>IF(ISNUMBER(Datos!N12),Datos!N12," - ")</f>
        <v>324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11.174686192468618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-8.1020862872189583E-3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222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262</v>
      </c>
      <c r="AA13" s="903">
        <f t="shared" si="2"/>
        <v>7</v>
      </c>
      <c r="AB13" s="903">
        <f t="shared" si="2"/>
        <v>0</v>
      </c>
      <c r="AC13" s="903">
        <f t="shared" si="2"/>
        <v>0</v>
      </c>
      <c r="AD13" s="903">
        <f t="shared" si="2"/>
        <v>0</v>
      </c>
      <c r="AE13" s="903">
        <f t="shared" si="2"/>
        <v>4897</v>
      </c>
      <c r="AF13" s="911">
        <f t="shared" si="2"/>
        <v>0</v>
      </c>
      <c r="AG13" s="911">
        <f t="shared" si="2"/>
        <v>0</v>
      </c>
      <c r="AH13" s="911">
        <f t="shared" si="2"/>
        <v>0</v>
      </c>
      <c r="AI13" s="911">
        <f t="shared" si="2"/>
        <v>0</v>
      </c>
      <c r="AJ13" s="911">
        <f t="shared" si="2"/>
        <v>334</v>
      </c>
      <c r="AK13" s="911">
        <f t="shared" si="2"/>
        <v>326</v>
      </c>
      <c r="AL13" s="911">
        <f t="shared" si="2"/>
        <v>0</v>
      </c>
      <c r="AM13" s="911">
        <f t="shared" si="2"/>
        <v>0</v>
      </c>
      <c r="AN13" s="911">
        <f t="shared" si="2"/>
        <v>0</v>
      </c>
      <c r="AO13" s="907">
        <f>IF(ISNUMBER(((NºAsuntos!I13/NºAsuntos!G13)*11)/factor_trimestre),((NºAsuntos!I13/NºAsuntos!G13)*11)/factor_trimestre," - ")</f>
        <v>11.115264797507789</v>
      </c>
      <c r="AP13" s="913" t="str">
        <f>IF(ISNUMBER(Datos!CI13/Datos!CJ13),Datos!CI13/Datos!CJ13," - ")</f>
        <v xml:space="preserve"> - </v>
      </c>
      <c r="AQ13" s="931">
        <f t="shared" ref="AQ13:AV13" si="3">SUBTOTAL(9,AQ9:AQ12)</f>
        <v>0</v>
      </c>
      <c r="AR13" s="931">
        <f t="shared" si="3"/>
        <v>-8.1020862872189583E-3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2187</v>
      </c>
      <c r="G16" s="228">
        <f>IF(ISNUMBER(IF(D_I="SI",Datos!I16,Datos!I16+Datos!AC16)),IF(D_I="SI",Datos!I16,Datos!I16+Datos!AC16)," - ")</f>
        <v>2187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2665</v>
      </c>
      <c r="Z16" s="622">
        <f>IF(ISNUMBER(Datos!Q16),Datos!Q16," - ")</f>
        <v>18</v>
      </c>
      <c r="AA16" s="335">
        <f>IF(ISNUMBER(IF(D_I="SI",Datos!L16,Datos!L16+Datos!AF16)),IF(D_I="SI",Datos!L16,Datos!L16+Datos!AF16)," - ")</f>
        <v>2341</v>
      </c>
      <c r="AB16" s="337"/>
      <c r="AC16" s="337"/>
      <c r="AD16" s="487"/>
      <c r="AE16" s="487">
        <f>IF(ISNUMBER(Datos!R16),Datos!R16," - ")</f>
        <v>80</v>
      </c>
      <c r="AF16" s="232" t="str">
        <f>IF(ISNUMBER(Datos!BV16),Datos!BV16," - ")</f>
        <v xml:space="preserve"> - </v>
      </c>
      <c r="AG16" s="228"/>
      <c r="AH16" s="301"/>
      <c r="AI16" s="230"/>
      <c r="AJ16" s="228">
        <f>IF(ISNUMBER(Datos!M16),Datos!M16," - ")</f>
        <v>175</v>
      </c>
      <c r="AK16" s="232">
        <f>IF(ISNUMBER(Datos!N16),Datos!N16," - ")</f>
        <v>2190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2.6352720450281426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127</v>
      </c>
      <c r="Z17" s="622">
        <f>IF(ISNUMBER(Datos!Q17),Datos!Q17," - ")</f>
        <v>5</v>
      </c>
      <c r="AA17" s="335">
        <f>IF(ISNUMBER(Datos!L17),Datos!L17,"-")</f>
        <v>68</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19</v>
      </c>
      <c r="AK17" s="232">
        <f>IF(ISNUMBER(Datos!N17),Datos!N17," - ")</f>
        <v>88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1.6062992125984252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2187</v>
      </c>
      <c r="G18" s="901">
        <f>SUBTOTAL(9,G15:G17)</f>
        <v>2254</v>
      </c>
      <c r="H18" s="935">
        <f>SUBTOTAL(9,H15:H17)</f>
        <v>0</v>
      </c>
      <c r="I18" s="914">
        <f>SUBTOTAL(9,I15:I17)</f>
        <v>0</v>
      </c>
      <c r="J18" s="870">
        <f>SUBTOTAL(9,J14:J17)</f>
        <v>0</v>
      </c>
      <c r="K18" s="935">
        <f t="shared" ref="K18:S18" si="4">SUBTOTAL(9,K15:K17)</f>
        <v>0</v>
      </c>
      <c r="L18" s="935">
        <f t="shared" si="4"/>
        <v>0</v>
      </c>
      <c r="M18" s="935">
        <f t="shared" si="4"/>
        <v>0</v>
      </c>
      <c r="N18" s="935">
        <f t="shared" si="4"/>
        <v>23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2792</v>
      </c>
      <c r="Z18" s="935">
        <f t="shared" si="5"/>
        <v>23</v>
      </c>
      <c r="AA18" s="935">
        <f t="shared" si="5"/>
        <v>2409</v>
      </c>
      <c r="AB18" s="935">
        <f t="shared" si="5"/>
        <v>0</v>
      </c>
      <c r="AC18" s="935">
        <f t="shared" si="5"/>
        <v>0</v>
      </c>
      <c r="AD18" s="935">
        <f t="shared" si="5"/>
        <v>0</v>
      </c>
      <c r="AE18" s="935">
        <f t="shared" si="5"/>
        <v>82</v>
      </c>
      <c r="AF18" s="935">
        <f t="shared" si="5"/>
        <v>0</v>
      </c>
      <c r="AG18" s="935">
        <f t="shared" si="5"/>
        <v>0</v>
      </c>
      <c r="AH18" s="935">
        <f t="shared" si="5"/>
        <v>0</v>
      </c>
      <c r="AI18" s="935">
        <f t="shared" si="5"/>
        <v>0</v>
      </c>
      <c r="AJ18" s="935">
        <f t="shared" si="5"/>
        <v>194</v>
      </c>
      <c r="AK18" s="935">
        <f t="shared" si="5"/>
        <v>2278</v>
      </c>
      <c r="AL18" s="935">
        <f t="shared" si="5"/>
        <v>0</v>
      </c>
      <c r="AM18" s="935">
        <f t="shared" si="5"/>
        <v>0</v>
      </c>
      <c r="AN18" s="935">
        <f t="shared" si="5"/>
        <v>0</v>
      </c>
      <c r="AO18" s="937">
        <f>IF(ISNUMBER(((NºAsuntos!I18/NºAsuntos!G18)*11)/factor_trimestre),((NºAsuntos!I18/NºAsuntos!G18)*11)/factor_trimestre," - ")</f>
        <v>2.5884670487106018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2194</v>
      </c>
      <c r="G19" s="823">
        <f t="shared" si="7"/>
        <v>2261</v>
      </c>
      <c r="H19" s="824">
        <f t="shared" si="7"/>
        <v>0</v>
      </c>
      <c r="I19" s="823">
        <f t="shared" si="7"/>
        <v>0</v>
      </c>
      <c r="J19" s="825">
        <f t="shared" si="7"/>
        <v>0</v>
      </c>
      <c r="K19" s="823">
        <f t="shared" si="7"/>
        <v>0</v>
      </c>
      <c r="L19" s="826">
        <f t="shared" si="7"/>
        <v>0</v>
      </c>
      <c r="M19" s="823">
        <f t="shared" si="7"/>
        <v>0</v>
      </c>
      <c r="N19" s="824">
        <f t="shared" si="7"/>
        <v>245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2799</v>
      </c>
      <c r="Z19" s="830">
        <f t="shared" si="8"/>
        <v>285</v>
      </c>
      <c r="AA19" s="831">
        <f t="shared" si="8"/>
        <v>2416</v>
      </c>
      <c r="AB19" s="831">
        <f t="shared" si="8"/>
        <v>0</v>
      </c>
      <c r="AC19" s="831">
        <f t="shared" si="8"/>
        <v>0</v>
      </c>
      <c r="AD19" s="832">
        <f t="shared" si="8"/>
        <v>0</v>
      </c>
      <c r="AE19" s="832">
        <f t="shared" si="8"/>
        <v>4979</v>
      </c>
      <c r="AF19" s="833">
        <f t="shared" si="8"/>
        <v>0</v>
      </c>
      <c r="AG19" s="834">
        <f t="shared" si="8"/>
        <v>0</v>
      </c>
      <c r="AH19" s="835">
        <f t="shared" si="8"/>
        <v>0</v>
      </c>
      <c r="AI19" s="833">
        <f t="shared" si="8"/>
        <v>0</v>
      </c>
      <c r="AJ19" s="823">
        <f t="shared" si="8"/>
        <v>528</v>
      </c>
      <c r="AK19" s="823">
        <f t="shared" si="8"/>
        <v>2604</v>
      </c>
      <c r="AL19" s="823">
        <f t="shared" si="8"/>
        <v>0</v>
      </c>
      <c r="AM19" s="836">
        <f t="shared" si="8"/>
        <v>0</v>
      </c>
      <c r="AN19" s="826">
        <f>IF(ISNUMBER(Datos!K19/Datos!J19),Datos!K19/Datos!J19," - ")</f>
        <v>0.97660196756181872</v>
      </c>
      <c r="AO19" s="826">
        <f>IF(ISNUMBER(FIND("06",Criterios!A8,1)),(IF(ISNUMBER(((Datos!R19/Datos!Q19)*11)/factor_trimestre),((Datos!R19/Datos!Q19)*11)/factor_trimestre," - ")),(IF(ISNUMBER(((Datos!L19/Datos!K19)*11)/factor_trimestre),((Datos!L19/Datos!K19)*11)/factor_trimestre," - ")))</f>
        <v>4.8205826300027228</v>
      </c>
      <c r="AP19" s="837" t="str">
        <f>IF(ISNUMBER(Datos!CI19/Datos!CJ19),Datos!CI19/Datos!CJ19," - ")</f>
        <v xml:space="preserve"> - </v>
      </c>
      <c r="AQ19" s="837">
        <f>IF(OR(ISNUMBER(FIND("01",Criterios!A8,1)),ISNUMBER(FIND("02",Criterios!A8,1)),ISNUMBER(FIND("03",Criterios!A8,1)),ISNUMBER(FIND("04",Criterios!A8,1))),(J19-Y19+K19)/(F19-K19),(I19-Y19+K19)/(F19-K19))</f>
        <v>-1.2757520510483136</v>
      </c>
      <c r="AR19" s="837">
        <f>IF(ISNUMBER((Datos!P19-Datos!Q19+O19)/(Datos!R19-Datos!P19+Datos!Q19-O19)),(Datos!P19-Datos!Q19+O19)/(Datos!R19-Datos!P19+Datos!Q19-O19)," - ")</f>
        <v>-7.9697150826857945E-3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904.4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1258.623586833384</v>
      </c>
      <c r="G21" s="555">
        <f>IF(ISNUMBER(STDEV(G8:G18)),STDEV(G8:G18),"-")</f>
        <v>1201.9125592155197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143.23965931263589</v>
      </c>
      <c r="AK21" s="255"/>
      <c r="AL21" s="255">
        <f>IF(ISNUMBER(STDEV(AL8:AL18)),STDEV(AL8:AL18),"-")</f>
        <v>0</v>
      </c>
      <c r="AM21" s="257">
        <f>IF(ISNUMBER(STDEV(AM8:AM18)),STDEV(AM8:AM18),"-")</f>
        <v>0</v>
      </c>
      <c r="AN21" s="542">
        <f>IF(ISNUMBER(STDEV(AN8:AN18)),STDEV(AN8:AN18),"-")</f>
        <v>0</v>
      </c>
      <c r="AO21" s="543">
        <f>IF(ISNUMBER(STDEV(AO8:AO18)),STDEV(AO8:AO18),"-")</f>
        <v>4.5099620514355392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GYO1E464bjDi6uROfhzDSdlW6egu3a+WUFNEcxn/7Ku57L3/095DJ+EjnFdOazs/Ou0xFsClWE4sH3pD/PfmQ==" saltValue="glQPCylFenbKXx//gOAN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r05vevnVRqWvWlz6UGr/CnEpXAppWkorztlROo+QJgVuwSYXSf972cfrqTVwstYptmlovf+HpcErtDLqIum2A==" saltValue="iuEE2EhZfymwxj3q3KBp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GjyQOA9yZU9FZ6nUXRweyy9nzEuByBg10O8PnE88PyYvnDw6DI5ZUk31G6fJllUF8zGUNk7yqkLhjDrrIL3Qg==" saltValue="q/8i/TbguW/vpsFN8jxy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VELEZ-MALAGA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0.34683281412253375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0.24524783480405699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6V5MUPxP4+WDdViKVxg5jur3zzxHxYxbptXlrIa1PwTJFA/YNaAC9WUa27A7HKcWPPDHbGexd5u2Z/WIPFqKcg==" saltValue="KFt4skXN2dXeV1rWhC+g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yYwE9fuNVdD3glab5FRWrS6wrFDK/lMLKwFGF8qPh2sRcqohuCrtqrPsEkKUWKq8dINk4VPAgA11mDJtttGAA==" saltValue="QK9xpetQDo3Qy52W9ReO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VELEZ-MALAGA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7</v>
      </c>
      <c r="F10" s="407">
        <f>IF(ISNUMBER(E10/B10),E10/B10," - ")</f>
        <v>7</v>
      </c>
      <c r="G10" s="406">
        <f>IF(ISNUMBER(Datos!K10),Datos!K10," - ")</f>
        <v>7</v>
      </c>
      <c r="H10" s="407">
        <f>IF(ISNUMBER(G10/B10),G10/B10," - ")</f>
        <v>7</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3633</v>
      </c>
      <c r="D12" s="407">
        <f>IF(ISNUMBER(C12/Datos!BH12),C12/Datos!BH12," - ")</f>
        <v>726.6</v>
      </c>
      <c r="E12" s="406">
        <f>IF(ISNUMBER(IF(J_V="SI",Datos!J12,Datos!J12+Datos!Z12)),IF(J_V="SI",Datos!J12,Datos!J12+Datos!Z12)," - ")</f>
        <v>884</v>
      </c>
      <c r="F12" s="407">
        <f>IF(ISNUMBER(E12/B12),E12/B12," - ")</f>
        <v>176.8</v>
      </c>
      <c r="G12" s="406">
        <f>IF(ISNUMBER(IF(J_V="SI",Datos!K12,Datos!K12+Datos!AA12)),IF(J_V="SI",Datos!K12,Datos!K12+Datos!AA12)," - ")</f>
        <v>956</v>
      </c>
      <c r="H12" s="407">
        <f>IF(ISNUMBER(G12/B12),G12/B12," - ")</f>
        <v>191.2</v>
      </c>
      <c r="I12" s="406">
        <f>IF(ISNUMBER(IF(J_V="SI",Datos!L12,Datos!L12+Datos!AB12)),IF(J_V="SI",Datos!L12,Datos!L12+Datos!AB12)," - ")</f>
        <v>3561</v>
      </c>
      <c r="J12" s="407">
        <f>IF(ISNUMBER(I12/B12),I12/B12," - ")</f>
        <v>712.2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3640</v>
      </c>
      <c r="D13" s="853" t="str">
        <f>IF(ISNUMBER(C13/Datos!BI13),C13/Datos!BI13," - ")</f>
        <v xml:space="preserve"> - </v>
      </c>
      <c r="E13" s="852">
        <f>SUBTOTAL(9,E8:E12)</f>
        <v>891</v>
      </c>
      <c r="F13" s="853">
        <f>IF(ISNUMBER(E13/B13),E13/B13," - ")</f>
        <v>178.2</v>
      </c>
      <c r="G13" s="852">
        <f>SUBTOTAL(9,G8:G12)</f>
        <v>963</v>
      </c>
      <c r="H13" s="853">
        <f>IF(ISNUMBER(G13/B13),G13/B13," - ")</f>
        <v>192.6</v>
      </c>
      <c r="I13" s="852">
        <f>SUBTOTAL(9,I8:I12)</f>
        <v>3568</v>
      </c>
      <c r="J13" s="853">
        <f>IF(ISNUMBER(I13/B13),I13/B13," - ")</f>
        <v>713.6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2187</v>
      </c>
      <c r="D16" s="407">
        <f>IF(ISNUMBER(C16/Datos!BH16),C16/Datos!BH16," - ")</f>
        <v>437.4</v>
      </c>
      <c r="E16" s="406">
        <f>IF(ISNUMBER(IF(D_I="SI",Datos!J16,Datos!J16+Datos!AD16)),IF(D_I="SI",Datos!J16,Datos!J16+Datos!AD16)," - ")</f>
        <v>2819</v>
      </c>
      <c r="F16" s="407">
        <f>IF(ISNUMBER(E16/B16),E16/B16," - ")</f>
        <v>563.79999999999995</v>
      </c>
      <c r="G16" s="406">
        <f>IF(ISNUMBER(IF(D_I="SI",Datos!K16,Datos!K16+Datos!AE16)),IF(D_I="SI",Datos!K16,Datos!K16+Datos!AE16)," - ")</f>
        <v>2665</v>
      </c>
      <c r="H16" s="407">
        <f>IF(ISNUMBER(G16/B16),G16/B16," - ")</f>
        <v>533</v>
      </c>
      <c r="I16" s="406">
        <f>IF(ISNUMBER(IF(D_I="SI",Datos!L16,Datos!L16+Datos!AF16)),IF(D_I="SI",Datos!L16,Datos!L16+Datos!AF16)," - ")</f>
        <v>2341</v>
      </c>
      <c r="J16" s="407">
        <f>IF(ISNUMBER(I16/B16),I16/B16," - ")</f>
        <v>468.2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67</v>
      </c>
      <c r="D17" s="407">
        <f>IF(ISNUMBER(C17/Datos!BH17),C17/Datos!BH17," - ")</f>
        <v>67</v>
      </c>
      <c r="E17" s="406">
        <f>IF(ISNUMBER(IF(D_I="SI",Datos!J17,Datos!J17+Datos!AD17)),IF(D_I="SI",Datos!J17,Datos!J17+Datos!AD17)," - ")</f>
        <v>128</v>
      </c>
      <c r="F17" s="407">
        <f>IF(ISNUMBER(E17/B17),E17/B17," - ")</f>
        <v>128</v>
      </c>
      <c r="G17" s="406">
        <f>IF(ISNUMBER(IF(D_I="SI",Datos!K17,Datos!K17+Datos!AE17)),IF(D_I="SI",Datos!K17,Datos!K17+Datos!AE17)," - ")</f>
        <v>127</v>
      </c>
      <c r="H17" s="407">
        <f>IF(ISNUMBER(G17/B17),G17/B17," - ")</f>
        <v>127</v>
      </c>
      <c r="I17" s="406">
        <f>IF(ISNUMBER(IF(D_I="SI",Datos!L17,Datos!L17+Datos!AF17)),IF(D_I="SI",Datos!L17,Datos!L17+Datos!AF17)," - ")</f>
        <v>68</v>
      </c>
      <c r="J17" s="407">
        <f>IF(ISNUMBER(I17/B17),I17/B17," - ")</f>
        <v>68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2254</v>
      </c>
      <c r="D18" s="853" t="str">
        <f>IF(ISNUMBER(C18/Datos!BI18),C18/Datos!BI18," - ")</f>
        <v xml:space="preserve"> - </v>
      </c>
      <c r="E18" s="852">
        <f>SUBTOTAL(9,E14:E17)</f>
        <v>2947</v>
      </c>
      <c r="F18" s="853">
        <f>IF(ISNUMBER(E18/B18),E18/B18," - ")</f>
        <v>589.4</v>
      </c>
      <c r="G18" s="852">
        <f>SUBTOTAL(9,G14:G17)</f>
        <v>2792</v>
      </c>
      <c r="H18" s="853">
        <f>IF(ISNUMBER(G18/B18),G18/B18," - ")</f>
        <v>558.4</v>
      </c>
      <c r="I18" s="852">
        <f>SUBTOTAL(9,I14:I17)</f>
        <v>2409</v>
      </c>
      <c r="J18" s="853">
        <f>IF(ISNUMBER(I18/B18),I18/B18," - ")</f>
        <v>481.8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5894</v>
      </c>
      <c r="D19" s="798" t="str">
        <f>IF(ISNUMBER(C19/Datos!BI19),C19/Datos!BI19," - ")</f>
        <v xml:space="preserve"> - </v>
      </c>
      <c r="E19" s="797">
        <f>SUBTOTAL(9,E9:E18)</f>
        <v>3838</v>
      </c>
      <c r="F19" s="798">
        <f>IF(ISNUMBER(E19/B19),E19/B19," - ")</f>
        <v>767.6</v>
      </c>
      <c r="G19" s="797">
        <f>SUBTOTAL(9,G9:G18)</f>
        <v>3755</v>
      </c>
      <c r="H19" s="798">
        <f>IF(ISNUMBER(G19/B19),G19/B19," - ")</f>
        <v>751</v>
      </c>
      <c r="I19" s="797">
        <f>SUBTOTAL(9,I9:I18)</f>
        <v>5977</v>
      </c>
      <c r="J19" s="798">
        <f>IF(ISNUMBER(I19/B19),I19/B19," - ")</f>
        <v>1195.4000000000001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s5qCWMMG6gZ/RZe/cphKKmXVwSXdHUakgGh2su7XjVrOcIxkrDIhXWCduIaz8hhvwHgv6/TfrIIacxtORdgOA==" saltValue="zQTAIe71FTcHdR4ZzBre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VELEZ-MALAGA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4897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329</v>
      </c>
      <c r="AM12" s="693">
        <f>IF(ISNUMBER(Datos!N12+DatosP!N16),Datos!N12+DatosP!N16," - ")</f>
        <v>324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11.174686192468618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-8.1020862872189583E-3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222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262</v>
      </c>
      <c r="AE13" s="942">
        <f t="shared" si="1"/>
        <v>0</v>
      </c>
      <c r="AF13" s="942">
        <f t="shared" si="1"/>
        <v>7</v>
      </c>
      <c r="AG13" s="942">
        <f t="shared" si="1"/>
        <v>0</v>
      </c>
      <c r="AH13" s="942">
        <f t="shared" si="1"/>
        <v>4897</v>
      </c>
      <c r="AI13" s="942">
        <f t="shared" si="1"/>
        <v>0</v>
      </c>
      <c r="AJ13" s="942">
        <f t="shared" si="1"/>
        <v>0</v>
      </c>
      <c r="AK13" s="942">
        <f t="shared" si="1"/>
        <v>0</v>
      </c>
      <c r="AL13" s="942">
        <f t="shared" si="1"/>
        <v>334</v>
      </c>
      <c r="AM13" s="942">
        <f t="shared" si="1"/>
        <v>326</v>
      </c>
      <c r="AN13" s="942">
        <f t="shared" si="1"/>
        <v>0</v>
      </c>
      <c r="AO13" s="942">
        <f t="shared" si="1"/>
        <v>0</v>
      </c>
      <c r="AP13" s="947">
        <f>IF(ISNUMBER(((Datos!L13/Datos!K13)*11)/factor_trimestre),((Datos!L13/Datos!K13)*11)/factor_trimestre," - ")</f>
        <v>11.894438138479002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-8.1020862872189583E-3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2.5884670487106018</v>
      </c>
      <c r="AQ18" s="947">
        <f>IF(ISNUMBER(((Datos!M18/Datos!L18)*11)/factor_trimestre),((Datos!M18/Datos!L18)*11)/factor_trimestre," - ")</f>
        <v>0.24159402241594022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-3.7412809131261889E-2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222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262</v>
      </c>
      <c r="AE19" s="960">
        <f t="shared" si="5"/>
        <v>0</v>
      </c>
      <c r="AF19" s="961">
        <f t="shared" si="5"/>
        <v>7</v>
      </c>
      <c r="AG19" s="961">
        <f t="shared" si="5"/>
        <v>0</v>
      </c>
      <c r="AH19" s="961">
        <f t="shared" si="5"/>
        <v>4897</v>
      </c>
      <c r="AI19" s="961">
        <f t="shared" si="5"/>
        <v>0</v>
      </c>
      <c r="AJ19" s="962">
        <f t="shared" si="5"/>
        <v>0</v>
      </c>
      <c r="AK19" s="962">
        <f t="shared" si="5"/>
        <v>0</v>
      </c>
      <c r="AL19" s="954">
        <f t="shared" si="5"/>
        <v>334</v>
      </c>
      <c r="AM19" s="954">
        <f t="shared" si="5"/>
        <v>326</v>
      </c>
      <c r="AN19" s="954">
        <f t="shared" si="5"/>
        <v>0</v>
      </c>
      <c r="AO19" s="954">
        <f t="shared" si="5"/>
        <v>0</v>
      </c>
      <c r="AP19" s="954">
        <f>IF(ISNUMBER(((Datos!L19/Datos!K19)*11)/factor_trimestre),((Datos!L19/Datos!K19)*11)/factor_trimestre," - ")</f>
        <v>4.8205826300027228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-7.9697150826857945E-3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189.97017309742776</v>
      </c>
      <c r="AM21" s="739"/>
      <c r="AN21" s="739">
        <f>IF(ISNUMBER(STDEV(AN8:AN18)),STDEV(AN8:AN18),"-")</f>
        <v>0</v>
      </c>
      <c r="AO21" s="745">
        <f>IF(ISNUMBER(STDEV(AO8:AO18)),STDEV(AO8:AO18),"-")</f>
        <v>0</v>
      </c>
      <c r="AP21" s="782">
        <f>IF(ISNUMBER(STDEV(AP8:AP18)),STDEV(AP8:AP18),"-")</f>
        <v>5.0575700974429703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tkergDaULaIsIj5anEa7YxkBOab4KzJp3EjS4UUZyv//qNBSEXYkB9rhHEO3WGyt9OFrFzozKbM/qd4kplImw==" saltValue="oIT6xTuow0wQne9S9Jvg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VELEZ-MALAGA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2upiIGsEe2zJC3LPJp5iq85z5a8AqNjeOEtfedwdaeBVTR1+L/D9ne4SnxtEgQtUyKBPUicFLD30WdoAGsOpYg==" saltValue="FjYdGCIQI7hBaDN4XjsL6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VELEZ-MALAGA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329</v>
      </c>
      <c r="E12" s="407">
        <f t="shared" si="0"/>
        <v>65.8</v>
      </c>
      <c r="F12" s="406">
        <f>IF(ISNUMBER(Datos!N12),Datos!N12," - ")</f>
        <v>324</v>
      </c>
      <c r="G12" s="407">
        <f t="shared" si="1"/>
        <v>64.8</v>
      </c>
      <c r="H12" s="406">
        <f>IF(ISNUMBER(Datos!O12),Datos!O12," - ")</f>
        <v>457</v>
      </c>
      <c r="I12" s="407">
        <f t="shared" si="2"/>
        <v>91.4</v>
      </c>
    </row>
    <row r="13" spans="1:9" ht="14.25" thickTop="1" thickBot="1">
      <c r="A13" s="851" t="str">
        <f>Datos!A13</f>
        <v>TOTAL</v>
      </c>
      <c r="B13" s="852">
        <f>Datos!AO13</f>
        <v>6</v>
      </c>
      <c r="C13" s="854">
        <f>Datos!AR13</f>
        <v>5</v>
      </c>
      <c r="D13" s="852">
        <f>SUBTOTAL(9,D9:D12)</f>
        <v>334</v>
      </c>
      <c r="E13" s="853">
        <f t="shared" si="0"/>
        <v>55.666666666666664</v>
      </c>
      <c r="F13" s="852">
        <f>SUBTOTAL(9,F9:F12)</f>
        <v>326</v>
      </c>
      <c r="G13" s="853">
        <f t="shared" si="1"/>
        <v>54.333333333333336</v>
      </c>
      <c r="H13" s="852">
        <f>SUBTOTAL(9,H9:H12)</f>
        <v>457</v>
      </c>
      <c r="I13" s="853">
        <f>IF(ISNUMBER(H13/B13),H13/B13," - ")</f>
        <v>76.166666666666671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175</v>
      </c>
      <c r="E16" s="407">
        <f t="shared" si="3"/>
        <v>35</v>
      </c>
      <c r="F16" s="406">
        <f>IF(ISNUMBER(Datos!N16),Datos!N16," - ")</f>
        <v>2190</v>
      </c>
      <c r="G16" s="407">
        <f t="shared" si="4"/>
        <v>438</v>
      </c>
      <c r="H16" s="406">
        <f>IF(ISNUMBER(Datos!O16),Datos!O16," - ")</f>
        <v>11</v>
      </c>
      <c r="I16" s="407">
        <f t="shared" si="5"/>
        <v>2.2000000000000002</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88</v>
      </c>
      <c r="G17" s="407">
        <f>IF(ISNUMBER(F17/B17),F17/B17," - ")</f>
        <v>88</v>
      </c>
      <c r="H17" s="406">
        <f>IF(ISNUMBER(Datos!O17),Datos!O17," - ")</f>
        <v>0</v>
      </c>
      <c r="I17" s="407">
        <f t="shared" si="5"/>
        <v>0</v>
      </c>
    </row>
    <row r="18" spans="1:9" ht="14.25" thickTop="1" thickBot="1">
      <c r="A18" s="851" t="str">
        <f>Datos!A18</f>
        <v>TOTAL</v>
      </c>
      <c r="B18" s="852">
        <f>Datos!AO18</f>
        <v>6</v>
      </c>
      <c r="C18" s="854">
        <f>Datos!AR18</f>
        <v>5</v>
      </c>
      <c r="D18" s="852">
        <f>SUBTOTAL(9,D15:D17)</f>
        <v>194</v>
      </c>
      <c r="E18" s="853">
        <f t="shared" si="3"/>
        <v>32.333333333333336</v>
      </c>
      <c r="F18" s="852">
        <f>SUBTOTAL(9,F15:F17)</f>
        <v>2278</v>
      </c>
      <c r="G18" s="853">
        <f t="shared" si="4"/>
        <v>379.66666666666669</v>
      </c>
      <c r="H18" s="852">
        <f>SUBTOTAL(9,H15:H17)</f>
        <v>11</v>
      </c>
      <c r="I18" s="853">
        <f>IF(ISNUMBER(H18/B18),H18/B18," - ")</f>
        <v>1.8333333333333333</v>
      </c>
    </row>
    <row r="19" spans="1:9" ht="14.25" thickTop="1" thickBot="1">
      <c r="A19" s="796" t="str">
        <f>Datos!A19</f>
        <v>TOTAL JURISDICCIONES</v>
      </c>
      <c r="B19" s="797">
        <f>Datos!AP19</f>
        <v>5</v>
      </c>
      <c r="C19" s="797">
        <f>Datos!AR19</f>
        <v>5</v>
      </c>
      <c r="D19" s="797">
        <f>SUBTOTAL(9,D8:D18)</f>
        <v>528</v>
      </c>
      <c r="E19" s="798">
        <f>IF(ISNUMBER(D19/B19),D19/B19," - ")</f>
        <v>105.6</v>
      </c>
      <c r="F19" s="797">
        <f>SUBTOTAL(9,F8:F18)</f>
        <v>2604</v>
      </c>
      <c r="G19" s="798">
        <f>IF(ISNUMBER(F19/B19),F19/B19," - ")</f>
        <v>520.79999999999995</v>
      </c>
      <c r="H19" s="797">
        <f>SUBTOTAL(9,H8:H18)</f>
        <v>468</v>
      </c>
      <c r="I19" s="798">
        <f>IF(ISNUMBER(H19/B19),H19/B19," - ")</f>
        <v>93.6</v>
      </c>
    </row>
    <row r="22" spans="1:9">
      <c r="A22" s="394" t="str">
        <f>Criterios!A4</f>
        <v>Fecha Informe: 07 mar. 2024</v>
      </c>
    </row>
    <row r="27" spans="1:9">
      <c r="A27" s="417"/>
    </row>
  </sheetData>
  <sheetProtection algorithmName="SHA-512" hashValue="lY41/OgsGSPAEgXxZHU7f33RL/IvDEPwt8OoWTbiDn+rJQxocW/Wsz41N9tKreYaB1kpsWGxKnpgKLg8Q6lIGw==" saltValue="srwID9YZ2OdGlTf73dpm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VELEZ-MALAGA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222</v>
      </c>
      <c r="C12" s="437">
        <f>IF(ISNUMBER(Datos!Q12),Datos!Q12," - ")</f>
        <v>262</v>
      </c>
      <c r="D12" s="411">
        <f>IF(ISNUMBER(Datos!R12),Datos!R12," - ")</f>
        <v>4897</v>
      </c>
    </row>
    <row r="13" spans="1:4" ht="14.25" thickTop="1" thickBot="1">
      <c r="A13" s="851" t="str">
        <f>Datos!A13</f>
        <v>TOTAL</v>
      </c>
      <c r="B13" s="852">
        <f>SUBTOTAL(9,B9:B12)</f>
        <v>222</v>
      </c>
      <c r="C13" s="856">
        <f>SUBTOTAL(9,C9:C12)</f>
        <v>262</v>
      </c>
      <c r="D13" s="854">
        <f>SUBTOTAL(9,D9:D12)</f>
        <v>4897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v>
      </c>
      <c r="C16" s="437">
        <f>IF(ISNUMBER(Datos!Q16),Datos!Q16," - ")</f>
        <v>18</v>
      </c>
      <c r="D16" s="411">
        <f>IF(ISNUMBER(Datos!R16),Datos!R16," - ")</f>
        <v>80</v>
      </c>
    </row>
    <row r="17" spans="1:4" ht="13.5" thickBot="1">
      <c r="A17" s="405" t="str">
        <f>Datos!A17</f>
        <v>Jdos. Violencia contra la mujer</v>
      </c>
      <c r="B17" s="436">
        <f>IF(ISNUMBER(Datos!P17),Datos!P17," - ")</f>
        <v>1</v>
      </c>
      <c r="C17" s="437">
        <f>IF(ISNUMBER(Datos!Q17),Datos!Q17," - ")</f>
        <v>5</v>
      </c>
      <c r="D17" s="411">
        <f>IF(ISNUMBER(Datos!R17),Datos!R17," - ")</f>
        <v>2</v>
      </c>
    </row>
    <row r="18" spans="1:4" ht="14.25" thickTop="1" thickBot="1">
      <c r="A18" s="851" t="str">
        <f>Datos!A18</f>
        <v>TOTAL</v>
      </c>
      <c r="B18" s="852">
        <f>SUBTOTAL(9,B15:B17)</f>
        <v>23</v>
      </c>
      <c r="C18" s="856">
        <f>SUBTOTAL(9,C15:C17)</f>
        <v>23</v>
      </c>
      <c r="D18" s="854">
        <f>SUBTOTAL(9,D15:D17)</f>
        <v>82</v>
      </c>
    </row>
    <row r="19" spans="1:4" ht="16.5" customHeight="1" thickTop="1" thickBot="1">
      <c r="A19" s="796" t="str">
        <f>Datos!A19</f>
        <v>TOTAL JURISDICCIONES</v>
      </c>
      <c r="B19" s="801">
        <f>SUBTOTAL(9,B8:B18)</f>
        <v>245</v>
      </c>
      <c r="C19" s="802">
        <f>SUBTOTAL(9,C8:C18)</f>
        <v>285</v>
      </c>
      <c r="D19" s="803">
        <f>SUBTOTAL(9,D8:D18)</f>
        <v>4979</v>
      </c>
    </row>
    <row r="20" spans="1:4" ht="7.5" customHeight="1"/>
    <row r="21" spans="1:4" ht="6" customHeight="1"/>
    <row r="22" spans="1:4">
      <c r="A22" s="394" t="str">
        <f>Criterios!A4</f>
        <v>Fecha Informe: 07 mar. 2024</v>
      </c>
    </row>
    <row r="27" spans="1:4">
      <c r="A27" s="417"/>
    </row>
  </sheetData>
  <sheetProtection algorithmName="SHA-512" hashValue="HN4WRKByhTo/wg0LN00d6QdV9RDg8aNHAy9VnDfLmNrlFCztaWYbo5x2JR21qPRnagCexJ12QijBKedJAOJqSw==" saltValue="4ufUkTddpwrCExOmRW7z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VELEZ-MALAGA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-0.22222222222222221</v>
      </c>
      <c r="C10" s="459">
        <f>IF(ISNUMBER((Datos!J10-Datos!T10)/Datos!T10),(Datos!J10-Datos!T10)/Datos!T10," - ")</f>
        <v>6</v>
      </c>
      <c r="D10" s="459">
        <f>IF(ISNUMBER((Datos!K10-Datos!U10)/Datos!U10),(Datos!K10-Datos!U10)/Datos!U10," - ")</f>
        <v>2.5</v>
      </c>
      <c r="E10" s="459">
        <f>IF(ISNUMBER((Datos!L10-Datos!V10)/Datos!V10),(Datos!L10-Datos!V10)/Datos!V10," - ")</f>
        <v>-0.125</v>
      </c>
      <c r="F10" s="459">
        <f>IF(ISNUMBER((Datos!M10-Datos!W10)/Datos!W10),(Datos!M10-Datos!W10)/Datos!W10," - ")</f>
        <v>1.5</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-0.75</v>
      </c>
      <c r="J10" s="464">
        <f>IF(ISNUMBER((('Resol  Asuntos'!D10/NºAsuntos!G10)-Datos!BF10)/Datos!BF10),(('Resol  Asuntos'!D10/NºAsuntos!G10)-Datos!BF10)/Datos!BF10," - ")</f>
        <v>-0.2857142857142857</v>
      </c>
      <c r="K10" s="465">
        <f>IF(ISNUMBER((((NºAsuntos!C10+NºAsuntos!E10)/NºAsuntos!G10)-Datos!BG10)/Datos!BG10),(((NºAsuntos!C10+NºAsuntos!E10)/NºAsuntos!G10)-Datos!BG10)/Datos!BG10," - ")</f>
        <v>-0.6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0.4871060171919771</v>
      </c>
      <c r="C12" s="459">
        <f>IF(ISNUMBER(
   IF(J_V="SI",(Datos!J12-Datos!T12)/Datos!T12,(Datos!J12+Datos!Z12-(Datos!T12+Datos!AH12))/(Datos!T12+Datos!AH12))
     ),IF(J_V="SI",(Datos!J12-Datos!T12)/Datos!T12,(Datos!J12+Datos!Z12-(Datos!T12+Datos!AH12))/(Datos!T12+Datos!AH12))," - ")</f>
        <v>-0.13502935420743639</v>
      </c>
      <c r="D12" s="459">
        <f>IF(ISNUMBER(
   IF(J_V="SI",(Datos!K12-Datos!U12)/Datos!U12,(Datos!K12+Datos!AA12-(Datos!U12+Datos!AI12))/(Datos!U12+Datos!AI12))
     ),IF(J_V="SI",(Datos!K12-Datos!U12)/Datos!U12,(Datos!K12+Datos!AA12-(Datos!U12+Datos!AI12))/(Datos!U12+Datos!AI12))," - ")</f>
        <v>-0.29550478997789242</v>
      </c>
      <c r="E12" s="459">
        <f>IF(ISNUMBER(
   IF(J_V="SI",(Datos!L12-Datos!V12)/Datos!V12,(Datos!L12+Datos!AB12-(Datos!V12+Datos!AJ12))/(Datos!V12+Datos!AJ12))
     ),IF(J_V="SI",(Datos!L12-Datos!V12)/Datos!V12,(Datos!L12+Datos!AB12-(Datos!V12+Datos!AJ12))/(Datos!V12+Datos!AJ12))," - ")</f>
        <v>0.18660446517827392</v>
      </c>
      <c r="F12" s="459">
        <f>IF(ISNUMBER((Datos!M12-Datos!W12)/Datos!W12),(Datos!M12-Datos!W12)/Datos!W12," - ")</f>
        <v>0.19202898550724637</v>
      </c>
      <c r="G12" s="460">
        <f>IF(ISNUMBER((Datos!N12-Datos!X12)/Datos!X12),(Datos!N12-Datos!X12)/Datos!X12," - ")</f>
        <v>-0.32075471698113206</v>
      </c>
      <c r="H12" s="458">
        <f>IF(ISNUMBER(((NºAsuntos!G12/NºAsuntos!E12)-Datos!BD12)/Datos!BD12),((NºAsuntos!G12/NºAsuntos!E12)-Datos!BD12)/Datos!BD12," - ")</f>
        <v>-0.18552703094729195</v>
      </c>
      <c r="I12" s="459">
        <f>IF(ISNUMBER(((NºAsuntos!I12/NºAsuntos!G12)-Datos!BE12)/Datos!BE12),((NºAsuntos!I12/NºAsuntos!G12)-Datos!BE12)/Datos!BE12," - ")</f>
        <v>0.68433290716204764</v>
      </c>
      <c r="J12" s="464">
        <f>IF(ISNUMBER((('Resol  Asuntos'!D12/NºAsuntos!G12)-Datos!BF12)/Datos!BF12),(('Resol  Asuntos'!D12/NºAsuntos!G12)-Datos!BF12)/Datos!BF12," - ")</f>
        <v>-2.0962167662254495E-2</v>
      </c>
      <c r="K12" s="465">
        <f>IF(ISNUMBER((((NºAsuntos!C12+NºAsuntos!E12)/NºAsuntos!G12)-Datos!BG12)/Datos!BG12),(((NºAsuntos!C12+NºAsuntos!E12)/NºAsuntos!G12)-Datos!BG12)/Datos!BG12," - ")</f>
        <v>0.85041357991148814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0.48450244698205547</v>
      </c>
      <c r="C13" s="858">
        <f>IF(ISNUMBER(
   IF(J_V="SI",(Datos!J13-Datos!T13)/Datos!T13,(Datos!J13+Datos!Z13-(Datos!T13+Datos!AH13))/(Datos!T13+Datos!AH13))
     ),IF(J_V="SI",(Datos!J13-Datos!T13)/Datos!T13,(Datos!J13+Datos!Z13-(Datos!T13+Datos!AH13))/(Datos!T13+Datos!AH13))," - ")</f>
        <v>-0.12903225806451613</v>
      </c>
      <c r="D13" s="858">
        <f>IF(ISNUMBER(
   IF(J_V="SI",(Datos!K13-Datos!U13)/Datos!U13,(Datos!K13+Datos!AA13-(Datos!U13+Datos!AI13))/(Datos!U13+Datos!AI13))
     ),IF(J_V="SI",(Datos!K13-Datos!U13)/Datos!U13,(Datos!K13+Datos!AA13-(Datos!U13+Datos!AI13))/(Datos!U13+Datos!AI13))," - ")</f>
        <v>-0.29139072847682118</v>
      </c>
      <c r="E13" s="858">
        <f>IF(ISNUMBER(
   IF(J_V="SI",(Datos!L13-Datos!V13)/Datos!V13,(Datos!L13+Datos!AB13-(Datos!V13+Datos!AJ13))/(Datos!V13+Datos!AJ13))
     ),IF(J_V="SI",(Datos!L13-Datos!V13)/Datos!V13,(Datos!L13+Datos!AB13-(Datos!V13+Datos!AJ13))/(Datos!V13+Datos!AJ13))," - ")</f>
        <v>0.1857760053173812</v>
      </c>
      <c r="F13" s="859">
        <f>IF(ISNUMBER((Datos!M13-Datos!W13)/Datos!W13),(Datos!M13-Datos!W13)/Datos!W13," - ")</f>
        <v>0.20143884892086331</v>
      </c>
      <c r="G13" s="860">
        <f>IF(ISNUMBER((Datos!N13-Datos!X13)/Datos!X13),(Datos!N13-Datos!X13)/Datos!X13," - ")</f>
        <v>-0.31656184486373168</v>
      </c>
      <c r="H13" s="860">
        <f>IF(ISNUMBER(((NºAsuntos!G13/NºAsuntos!E13)-Datos!BD13)/Datos!BD13),((NºAsuntos!G13/NºAsuntos!E13)-Datos!BD13)/Datos!BD13," - ")</f>
        <v>-0.18641157714005385</v>
      </c>
      <c r="I13" s="860">
        <f>IF(ISNUMBER(((NºAsuntos!I13/NºAsuntos!G13)-Datos!BE13)/Datos!BE13),((NºAsuntos!I13/NºAsuntos!G13)-Datos!BE13)/Datos!BE13," - ")</f>
        <v>0.67338482993387427</v>
      </c>
      <c r="J13" s="860">
        <f>IF(ISNUMBER((('Resol  Asuntos'!D13/NºAsuntos!G13)-Datos!BF13)/Datos!BF13),(('Resol  Asuntos'!D13/NºAsuntos!G13)-Datos!BF13)/Datos!BF13," - ")</f>
        <v>-1.5979552416443873E-2</v>
      </c>
      <c r="K13" s="860">
        <f>IF(ISNUMBER((((NºAsuntos!C13+NºAsuntos!E13)/NºAsuntos!G13)-Datos!BG13)/Datos!BG13),(((NºAsuntos!C13+NºAsuntos!E13)/NºAsuntos!G13)-Datos!BG13)/Datos!BG13," - ")</f>
        <v>0.84006185705641079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0.50827586206896547</v>
      </c>
      <c r="C16" s="459">
        <f>IF(ISNUMBER(
   IF(D_I="SI",(Datos!J16-Datos!T16)/Datos!T16,(Datos!J16+Datos!AD16-(Datos!T16+Datos!AL16))/(Datos!T16+Datos!AL16))
     ),IF(D_I="SI",(Datos!J16-Datos!T16)/Datos!T16,(Datos!J16+Datos!AD16-(Datos!T16+Datos!AL16))/(Datos!T16+Datos!AL16))," - ")</f>
        <v>-9.7919999999999993E-2</v>
      </c>
      <c r="D16" s="459">
        <f>IF(ISNUMBER(
   IF(D_I="SI",(Datos!K16-Datos!U16)/Datos!U16,(Datos!K16+Datos!AE16-(Datos!U16+Datos!AM16))/(Datos!U16+Datos!AM16))
     ),IF(D_I="SI",(Datos!K16-Datos!U16)/Datos!U16,(Datos!K16+Datos!AE16-(Datos!U16+Datos!AM16))/(Datos!U16+Datos!AM16))," - ")</f>
        <v>-0.1051040967092008</v>
      </c>
      <c r="E16" s="459">
        <f>IF(ISNUMBER(
   IF(D_I="SI",(Datos!L16-Datos!V16)/Datos!V16,(Datos!L16+Datos!AF16-(Datos!V16+Datos!AN16))/(Datos!V16+Datos!AN16))
     ),IF(D_I="SI",(Datos!L16-Datos!V16)/Datos!V16,(Datos!L16+Datos!AF16-(Datos!V16+Datos!AN16))/(Datos!V16+Datos!AN16))," - ")</f>
        <v>0.41707021791767557</v>
      </c>
      <c r="F16" s="459">
        <f>IF(ISNUMBER((Datos!M16-Datos!W16)/Datos!W16),(Datos!M16-Datos!W16)/Datos!W16," - ")</f>
        <v>0.48305084745762711</v>
      </c>
      <c r="G16" s="460">
        <f>IF(ISNUMBER((Datos!N16-Datos!X16)/Datos!X16),(Datos!N16-Datos!X16)/Datos!X16," - ")</f>
        <v>-9.8023064250411865E-2</v>
      </c>
      <c r="H16" s="458">
        <f>IF(ISNUMBER(((NºAsuntos!G16/NºAsuntos!E16)-Datos!BD16)/Datos!BD16),((NºAsuntos!G16/NºAsuntos!E16)-Datos!BD16)/Datos!BD16," - ")</f>
        <v>-7.9639241632680786E-3</v>
      </c>
      <c r="I16" s="459">
        <f>IF(ISNUMBER(((NºAsuntos!I16/NºAsuntos!G16)-Datos!BE16)/Datos!BE16),((NºAsuntos!I16/NºAsuntos!G16)-Datos!BE16)/Datos!BE16," - ")</f>
        <v>0.58350285514402911</v>
      </c>
      <c r="J16" s="464">
        <f>IF(ISNUMBER((('Resol  Asuntos'!D16/NºAsuntos!G16)-Datos!BF16)/Datos!BF16),(('Resol  Asuntos'!D16/NºAsuntos!G16)-Datos!BF16)/Datos!BF16," - ")</f>
        <v>0.6572328044010558</v>
      </c>
      <c r="K16" s="465">
        <f>IF(ISNUMBER((((NºAsuntos!C16+NºAsuntos!E16)/NºAsuntos!G16)-Datos!BG16)/Datos!BG16),(((NºAsuntos!C16+NºAsuntos!E16)/NºAsuntos!G16)-Datos!BG16)/Datos!BG16," - ")</f>
        <v>0.22272059381375661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-1.4705882352941176E-2</v>
      </c>
      <c r="C17" s="459">
        <f>IF(ISNUMBER(
   IF(D_I="SI",(Datos!J17-Datos!T17)/Datos!T17,(Datos!J17+Datos!AD17-(Datos!T17+Datos!AL17))/(Datos!T17+Datos!AL17))
     ),IF(D_I="SI",(Datos!J17-Datos!T17)/Datos!T17,(Datos!J17+Datos!AD17-(Datos!T17+Datos!AL17))/(Datos!T17+Datos!AL17))," - ")</f>
        <v>0.21904761904761905</v>
      </c>
      <c r="D17" s="459">
        <f>IF(ISNUMBER(
   IF(D_I="SI",(Datos!K17-Datos!U17)/Datos!U17,(Datos!K17+Datos!AE17-(Datos!U17+Datos!AM17))/(Datos!U17+Datos!AM17))
     ),IF(D_I="SI",(Datos!K17-Datos!U17)/Datos!U17,(Datos!K17+Datos!AE17-(Datos!U17+Datos!AM17))/(Datos!U17+Datos!AM17))," - ")</f>
        <v>0.39560439560439559</v>
      </c>
      <c r="E17" s="459">
        <f>IF(ISNUMBER(
   IF(D_I="SI",(Datos!L17-Datos!V17)/Datos!V17,(Datos!L17+Datos!AF17-(Datos!V17+Datos!AN17))/(Datos!V17+Datos!AN17))
     ),IF(D_I="SI",(Datos!L17-Datos!V17)/Datos!V17,(Datos!L17+Datos!AF17-(Datos!V17+Datos!AN17))/(Datos!V17+Datos!AN17))," - ")</f>
        <v>-0.17073170731707318</v>
      </c>
      <c r="F17" s="459">
        <f>IF(ISNUMBER((Datos!M17-Datos!W17)/Datos!W17),(Datos!M17-Datos!W17)/Datos!W17," - ")</f>
        <v>0.58333333333333337</v>
      </c>
      <c r="G17" s="460">
        <f>IF(ISNUMBER((Datos!N17-Datos!X17)/Datos!X17),(Datos!N17-Datos!X17)/Datos!X17," - ")</f>
        <v>0.29411764705882354</v>
      </c>
      <c r="H17" s="458">
        <f>IF(ISNUMBER(((NºAsuntos!G17/NºAsuntos!E17)-Datos!BD17)/Datos!BD17),((NºAsuntos!G17/NºAsuntos!E17)-Datos!BD17)/Datos!BD17," - ")</f>
        <v>0.14483173076923073</v>
      </c>
      <c r="I17" s="459">
        <f>IF(ISNUMBER(((NºAsuntos!I17/NºAsuntos!G17)-Datos!BE17)/Datos!BE17),((NºAsuntos!I17/NºAsuntos!G17)-Datos!BE17)/Datos!BE17," - ")</f>
        <v>-0.40579988477050122</v>
      </c>
      <c r="J17" s="464">
        <f>IF(ISNUMBER((('Resol  Asuntos'!D17/NºAsuntos!G17)-Datos!BF17)/Datos!BF17),(('Resol  Asuntos'!D17/NºAsuntos!G17)-Datos!BF17)/Datos!BF17," - ")</f>
        <v>0.13451443569553811</v>
      </c>
      <c r="K17" s="465">
        <f>IF(ISNUMBER((((NºAsuntos!C17+NºAsuntos!E17)/NºAsuntos!G17)-Datos!BG17)/Datos!BG17),(((NºAsuntos!C17+NºAsuntos!E17)/NºAsuntos!G17)-Datos!BG17)/Datos!BG17," - ")</f>
        <v>-0.19234445405306996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0.48484848484848486</v>
      </c>
      <c r="C18" s="858">
        <f>IF(ISNUMBER(
   IF(Criterios!B14="SI",(Datos!J18-Datos!T18)/Datos!T18,(Datos!J18+Datos!AD18-(Datos!T18+Datos!AL18))/(Datos!T18+Datos!AL18))
     ),IF(Criterios!B14="SI",(Datos!J18-Datos!T18)/Datos!T18,(Datos!J18+Datos!AD18-(Datos!T18+Datos!AL18))/(Datos!T18+Datos!AL18))," - ")</f>
        <v>-8.7616099071207432E-2</v>
      </c>
      <c r="D18" s="858">
        <f>IF(ISNUMBER(
   IF(Criterios!B14="SI",(Datos!K18-Datos!U18)/Datos!U18,(Datos!K18+Datos!AE18-(Datos!U18+Datos!AM18))/(Datos!U18+Datos!AM18))
     ),IF(Criterios!B14="SI",(Datos!K18-Datos!U18)/Datos!U18,(Datos!K18+Datos!AE18-(Datos!U18+Datos!AM18))/(Datos!U18+Datos!AM18))," - ")</f>
        <v>-9.0257412838057993E-2</v>
      </c>
      <c r="E18" s="858">
        <f>IF(ISNUMBER(
   IF(Criterios!B14="SI",(Datos!L18-Datos!V18)/Datos!V18,(Datos!L18+Datos!AF18-(Datos!V18+Datos!AN18))/(Datos!V18+Datos!AN18))
     ),IF(Criterios!B14="SI",(Datos!L18-Datos!V18)/Datos!V18,(Datos!L18+Datos!AF18-(Datos!V18+Datos!AN18))/(Datos!V18+Datos!AN18))," - ")</f>
        <v>0.38927335640138411</v>
      </c>
      <c r="F18" s="859">
        <f>IF(ISNUMBER((Datos!M18-Datos!W18)/Datos!W18),(Datos!M18-Datos!W18)/Datos!W18," - ")</f>
        <v>0.49230769230769234</v>
      </c>
      <c r="G18" s="860">
        <f>IF(ISNUMBER((Datos!N18-Datos!X18)/Datos!X18),(Datos!N18-Datos!X18)/Datos!X18," - ")</f>
        <v>-8.7339743589743585E-2</v>
      </c>
      <c r="H18" s="860">
        <f>IF(ISNUMBER(((NºAsuntos!G18/NºAsuntos!E18)-Datos!BD18)/Datos!BD18),((NºAsuntos!G18/NºAsuntos!E18)-Datos!BD18)/Datos!BD18," - ")</f>
        <v>-2.8949587604096528E-3</v>
      </c>
      <c r="I18" s="860">
        <f>IF(ISNUMBER(((NºAsuntos!I18/NºAsuntos!G18)-Datos!BE18)/Datos!BE18),((NºAsuntos!I18/NºAsuntos!G18)-Datos!BE18)/Datos!BE18," - ")</f>
        <v>0.52710599240538936</v>
      </c>
      <c r="J18" s="860">
        <f>IF(ISNUMBER((('Resol  Asuntos'!D18/NºAsuntos!G18)-Datos!BF18)/Datos!BF18),(('Resol  Asuntos'!D18/NºAsuntos!G18)-Datos!BF18)/Datos!BF18," - ")</f>
        <v>0.6403625743883623</v>
      </c>
      <c r="K18" s="860">
        <f>IF(ISNUMBER((((NºAsuntos!C18+NºAsuntos!E18)/NºAsuntos!G18)-Datos!BG18)/Datos!BG18),(((NºAsuntos!C18+NºAsuntos!E18)/NºAsuntos!G18)-Datos!BG18)/Datos!BG18," - ")</f>
        <v>0.20408630809413333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0.48463476070528966</v>
      </c>
      <c r="C19" s="805">
        <f>IF(ISNUMBER(
   IF(J_V="SI",(Datos!J19-Datos!T19)/Datos!T19,(Datos!J19+Datos!Z19-(Datos!T19+Datos!AH19))/(Datos!T19+Datos!AH19))
     ),IF(J_V="SI",(Datos!J19-Datos!T19)/Datos!T19,(Datos!J19+Datos!Z19-(Datos!T19+Datos!AH19))/(Datos!T19+Datos!AH19))," - ")</f>
        <v>-9.7578180108158941E-2</v>
      </c>
      <c r="D19" s="805">
        <f>IF(ISNUMBER(
   IF(J_V="SI",(Datos!K19-Datos!U19)/Datos!U19,(Datos!K19+Datos!AA19-(Datos!U19+Datos!AI19))/(Datos!U19+Datos!AI19))
     ),IF(J_V="SI",(Datos!K19-Datos!U19)/Datos!U19,(Datos!K19+Datos!AA19-(Datos!U19+Datos!AI19))/(Datos!U19+Datos!AI19))," - ")</f>
        <v>-0.15198735320686541</v>
      </c>
      <c r="E19" s="805">
        <f>IF(ISNUMBER(
   IF(J_V="SI",(Datos!L19-Datos!V19)/Datos!V19,(Datos!L19+Datos!AB19-(Datos!V19+Datos!AJ19))/(Datos!V19+Datos!AJ19))
     ),IF(J_V="SI",(Datos!L19-Datos!V19)/Datos!V19,(Datos!L19+Datos!AB19-(Datos!V19+Datos!AJ19))/(Datos!V19+Datos!AJ19))," - ")</f>
        <v>0.26017288635884461</v>
      </c>
      <c r="F19" s="806">
        <f>IF(ISNUMBER((Datos!M19-Datos!W19)/Datos!W19),(Datos!M19-Datos!W19)/Datos!W19," - ")</f>
        <v>0.29411764705882354</v>
      </c>
      <c r="G19" s="807">
        <f>IF(ISNUMBER((Datos!N19-Datos!X19)/Datos!X19),(Datos!N19-Datos!X19)/Datos!X19," - ")</f>
        <v>-0.12411705348133199</v>
      </c>
      <c r="H19" s="808">
        <f>IF(ISNUMBER((Tasas!B19-Datos!BD19)/Datos!BD19),(Tasas!B19-Datos!BD19)/Datos!BD19," - ")</f>
        <v>-6.0292395307138792E-2</v>
      </c>
      <c r="I19" s="809">
        <f>IF(ISNUMBER((Tasas!C19-Datos!BE19)/Datos!BE19),(Tasas!C19-Datos!BE19)/Datos!BE19," - ")</f>
        <v>0.48603076985272031</v>
      </c>
      <c r="J19" s="810">
        <f>IF(ISNUMBER((Tasas!D19-Datos!BF19)/Datos!BF19),(Tasas!D19-Datos!BF19)/Datos!BF19," - ")</f>
        <v>2.2384603779525416E-2</v>
      </c>
      <c r="K19" s="810">
        <f>IF(ISNUMBER((Tasas!E19-Datos!BG19)/Datos!BG19),(Tasas!E19-Datos!BG19)/Datos!BG19," - ")</f>
        <v>0.39562737947360466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HpOJUDUUkqIW2FVb6hSbdREyBOnnz6qtoUubDTtZf79JBLK/Ja0QcXqMap/ZDfZ0yJNKQ74MqMJHWovHP2PNQ==" saltValue="jGccomrx2NzY8VEDERDY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VELEZ-MALAGA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v>
      </c>
      <c r="D10" s="447">
        <f>IF(ISNUMBER('Resol  Asuntos'!D10/NºAsuntos!G10),'Resol  Asuntos'!D10/NºAsuntos!G10," - ")</f>
        <v>0.7142857142857143</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1.0814479638009049</v>
      </c>
      <c r="C12" s="446">
        <f>IF(ISNUMBER(NºAsuntos!I12/NºAsuntos!G12),NºAsuntos!I12/NºAsuntos!G12," - ")</f>
        <v>3.7248953974895396</v>
      </c>
      <c r="D12" s="447">
        <f>IF(ISNUMBER('Resol  Asuntos'!D12/NºAsuntos!G12),'Resol  Asuntos'!D12/NºAsuntos!G12," - ")</f>
        <v>0.34414225941422594</v>
      </c>
      <c r="E12" s="448">
        <f>IF(ISNUMBER((NºAsuntos!C12+NºAsuntos!E12)/NºAsuntos!G12),(NºAsuntos!C12+NºAsuntos!E12)/NºAsuntos!G12," - ")</f>
        <v>4.72489539748954</v>
      </c>
      <c r="G12" s="466"/>
    </row>
    <row r="13" spans="1:7" ht="14.25" thickTop="1" thickBot="1">
      <c r="A13" s="851" t="str">
        <f>Datos!A13</f>
        <v>TOTAL</v>
      </c>
      <c r="B13" s="861">
        <f>IF(ISNUMBER(NºAsuntos!G13/NºAsuntos!E13),NºAsuntos!G13/NºAsuntos!E13," - ")</f>
        <v>1.0808080808080809</v>
      </c>
      <c r="C13" s="862">
        <f>IF(ISNUMBER(NºAsuntos!I13/NºAsuntos!G13),NºAsuntos!I13/NºAsuntos!G13," - ")</f>
        <v>3.7050882658359292</v>
      </c>
      <c r="D13" s="863">
        <f>IF(ISNUMBER('Resol  Asuntos'!D13/NºAsuntos!G13),'Resol  Asuntos'!D13/NºAsuntos!G13," - ")</f>
        <v>0.34683281412253375</v>
      </c>
      <c r="E13" s="864">
        <f>IF(ISNUMBER((NºAsuntos!C13+NºAsuntos!E13)/NºAsuntos!G13),(NºAsuntos!C13+NºAsuntos!E13)/NºAsuntos!G13," - ")</f>
        <v>4.7050882658359292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0.94537069882937208</v>
      </c>
      <c r="C16" s="446">
        <f>IF(ISNUMBER(NºAsuntos!I16/NºAsuntos!G16),NºAsuntos!I16/NºAsuntos!G16," - ")</f>
        <v>0.87842401500938083</v>
      </c>
      <c r="D16" s="447">
        <f>IF(ISNUMBER('Resol  Asuntos'!D16/NºAsuntos!G16),'Resol  Asuntos'!D16/NºAsuntos!G16," - ")</f>
        <v>6.5666041275797379E-2</v>
      </c>
      <c r="E16" s="448">
        <f>IF(ISNUMBER((NºAsuntos!C16+NºAsuntos!E16)/NºAsuntos!G16),(NºAsuntos!C16+NºAsuntos!E16)/NºAsuntos!G16," - ")</f>
        <v>1.8784240150093809</v>
      </c>
      <c r="G16" s="466"/>
    </row>
    <row r="17" spans="1:7" ht="13.5" thickBot="1">
      <c r="A17" s="405" t="str">
        <f>Datos!A17</f>
        <v>Jdos. Violencia contra la mujer</v>
      </c>
      <c r="B17" s="445">
        <f>IF(ISNUMBER(NºAsuntos!G17/NºAsuntos!E17),NºAsuntos!G17/NºAsuntos!E17," - ")</f>
        <v>0.9921875</v>
      </c>
      <c r="C17" s="446">
        <f>IF(ISNUMBER(NºAsuntos!I17/NºAsuntos!G17),NºAsuntos!I17/NºAsuntos!G17," - ")</f>
        <v>0.53543307086614178</v>
      </c>
      <c r="D17" s="447">
        <f>IF(ISNUMBER('Resol  Asuntos'!D17/NºAsuntos!G17),'Resol  Asuntos'!D17/NºAsuntos!G17," - ")</f>
        <v>0.14960629921259844</v>
      </c>
      <c r="E17" s="448">
        <f>IF(ISNUMBER((NºAsuntos!C17+NºAsuntos!E17)/NºAsuntos!G17),(NºAsuntos!C17+NºAsuntos!E17)/NºAsuntos!G17," - ")</f>
        <v>1.5354330708661417</v>
      </c>
      <c r="G17" s="466"/>
    </row>
    <row r="18" spans="1:7" ht="14.25" thickTop="1" thickBot="1">
      <c r="A18" s="851" t="str">
        <f>Datos!A18</f>
        <v>TOTAL</v>
      </c>
      <c r="B18" s="861">
        <f>IF(ISNUMBER(NºAsuntos!G18/NºAsuntos!E18),NºAsuntos!G18/NºAsuntos!E18," - ")</f>
        <v>0.94740413980318972</v>
      </c>
      <c r="C18" s="862">
        <f>IF(ISNUMBER(NºAsuntos!I18/NºAsuntos!G18),NºAsuntos!I18/NºAsuntos!G18," - ")</f>
        <v>0.86282234957020054</v>
      </c>
      <c r="D18" s="865">
        <f>IF(ISNUMBER('Resol  Asuntos'!D18/NºAsuntos!G18),'Resol  Asuntos'!D18/NºAsuntos!G18," - ")</f>
        <v>6.9484240687679083E-2</v>
      </c>
      <c r="E18" s="864">
        <f>IF(ISNUMBER((NºAsuntos!C18+NºAsuntos!E18)/NºAsuntos!G18),(NºAsuntos!C18+NºAsuntos!E18)/NºAsuntos!G18," - ")</f>
        <v>1.8628223495702005</v>
      </c>
      <c r="G18" s="466"/>
    </row>
    <row r="19" spans="1:7" ht="15.75" customHeight="1" thickTop="1" thickBot="1">
      <c r="A19" s="796" t="str">
        <f>Datos!A19</f>
        <v>TOTAL JURISDICCIONES</v>
      </c>
      <c r="B19" s="811">
        <f>IF(ISNUMBER(NºAsuntos!G19/NºAsuntos!E19),NºAsuntos!G19/NºAsuntos!E19," - ")</f>
        <v>0.97837415320479415</v>
      </c>
      <c r="C19" s="812">
        <f>IF(ISNUMBER(NºAsuntos!I19/NºAsuntos!G19),NºAsuntos!I19/NºAsuntos!G19," - ")</f>
        <v>1.5917443408788283</v>
      </c>
      <c r="D19" s="813">
        <f>IF(ISNUMBER('Resol  Asuntos'!D19/NºAsuntos!G19),'Resol  Asuntos'!D19/NºAsuntos!G19," - ")</f>
        <v>0.14061251664447402</v>
      </c>
      <c r="E19" s="814">
        <f>IF(ISNUMBER((NºAsuntos!C19+NºAsuntos!E19)/NºAsuntos!G19),(NºAsuntos!C19+NºAsuntos!E19)/NºAsuntos!G19," - ")</f>
        <v>2.5917443408788281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dPA98LGy/5sOkj6njtSt2H3HOElSpZpzOw69Jywej9BFEVVmTOSSaAFuqNRYkaPQUF7kceYcsdVwbEy/2L+tw==" saltValue="wzMTF8wrvTNWcHQEF+d1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VELEZ-MALAGA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7</v>
      </c>
      <c r="AB10" s="337">
        <f>IF(ISNUMBER(Datos!R10),Datos!R10," - ")</f>
        <v>0</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3</v>
      </c>
      <c r="AN10" s="247">
        <f>IF(ISNUMBER('Resol  Asuntos'!D10/NºAsuntos!G10),'Resol  Asuntos'!D10/NºAsuntos!G10," - ")</f>
        <v>0.7142857142857143</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262</v>
      </c>
      <c r="Y12" s="337">
        <f t="shared" si="0"/>
        <v>262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4897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329</v>
      </c>
      <c r="AJ12" s="232" t="str">
        <f>IF(ISNUMBER(Datos!BW12),Datos!BW12," - ")</f>
        <v xml:space="preserve"> - </v>
      </c>
      <c r="AK12" s="231" t="str">
        <f>IF(ISNUMBER(Datos!BX12),Datos!BX12," - ")</f>
        <v xml:space="preserve"> - </v>
      </c>
      <c r="AL12" s="246">
        <f>IF(ISNUMBER(NºAsuntos!G12/NºAsuntos!E12),NºAsuntos!G12/NºAsuntos!E12," - ")</f>
        <v>1.0814479638009049</v>
      </c>
      <c r="AM12" s="263">
        <f>IF(ISNUMBER(((NºAsuntos!I12/NºAsuntos!G12)*11)/factor_trimestre),((NºAsuntos!I12/NºAsuntos!G12)*11)/factor_trimestre," - ")</f>
        <v>11.174686192468618</v>
      </c>
      <c r="AN12" s="247">
        <f>IF(ISNUMBER('Resol  Asuntos'!D12/NºAsuntos!G12),'Resol  Asuntos'!D12/NºAsuntos!G12," - ")</f>
        <v>0.34414225941422594</v>
      </c>
      <c r="AO12" s="248">
        <f>IF(ISNUMBER((NºAsuntos!C12+NºAsuntos!E12)/NºAsuntos!G12),(NºAsuntos!C12+NºAsuntos!E12)/NºAsuntos!G12," - ")</f>
        <v>4.72489539748954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7</v>
      </c>
      <c r="G13" s="869">
        <f t="shared" si="3"/>
        <v>7</v>
      </c>
      <c r="H13" s="868">
        <f t="shared" si="3"/>
        <v>0</v>
      </c>
      <c r="I13" s="870">
        <f t="shared" si="3"/>
        <v>0</v>
      </c>
      <c r="J13" s="870">
        <f t="shared" si="3"/>
        <v>0</v>
      </c>
      <c r="K13" s="870">
        <f t="shared" si="3"/>
        <v>0</v>
      </c>
      <c r="L13" s="870">
        <f t="shared" si="3"/>
        <v>222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262</v>
      </c>
      <c r="Y13" s="871">
        <f t="shared" si="4"/>
        <v>269</v>
      </c>
      <c r="Z13" s="871">
        <f t="shared" si="4"/>
        <v>0</v>
      </c>
      <c r="AA13" s="871">
        <f t="shared" si="4"/>
        <v>7</v>
      </c>
      <c r="AB13" s="871">
        <f t="shared" si="4"/>
        <v>4897</v>
      </c>
      <c r="AC13" s="871">
        <f t="shared" si="4"/>
        <v>7</v>
      </c>
      <c r="AD13" s="871">
        <f t="shared" si="4"/>
        <v>0</v>
      </c>
      <c r="AE13" s="875">
        <f t="shared" si="4"/>
        <v>0</v>
      </c>
      <c r="AF13" s="868">
        <f t="shared" si="4"/>
        <v>0</v>
      </c>
      <c r="AG13" s="876">
        <f t="shared" si="4"/>
        <v>0</v>
      </c>
      <c r="AH13" s="873">
        <f t="shared" si="4"/>
        <v>0</v>
      </c>
      <c r="AI13" s="868">
        <f t="shared" si="4"/>
        <v>334</v>
      </c>
      <c r="AJ13" s="870">
        <f t="shared" si="4"/>
        <v>0</v>
      </c>
      <c r="AK13" s="873">
        <f>SUBTOTAL(9,AK9:AK12)</f>
        <v>0</v>
      </c>
      <c r="AL13" s="877">
        <f>IF(ISNUMBER(NºAsuntos!G13/NºAsuntos!E13),NºAsuntos!G13/NºAsuntos!E13," - ")</f>
        <v>1.0808080808080809</v>
      </c>
      <c r="AM13" s="877">
        <f>IF(ISNUMBER(((NºAsuntos!I13/NºAsuntos!G13)*11)/factor_trimestre),((NºAsuntos!I13/NºAsuntos!G13)*11)/factor_trimestre," - ")</f>
        <v>11.115264797507789</v>
      </c>
      <c r="AN13" s="878">
        <f>IF(ISNUMBER('Resol  Asuntos'!D13/NºAsuntos!G13),'Resol  Asuntos'!D13/NºAsuntos!G13," - ")</f>
        <v>0.34683281412253375</v>
      </c>
      <c r="AO13" s="879">
        <f>IF(ISNUMBER((NºAsuntos!C13+NºAsuntos!E13)/NºAsuntos!G13),(NºAsuntos!C13+NºAsuntos!E13)/NºAsuntos!G13," - ")</f>
        <v>4.7050882658359292</v>
      </c>
      <c r="AP13" s="880" t="str">
        <f t="shared" si="2"/>
        <v xml:space="preserve"> - </v>
      </c>
      <c r="AQ13" s="880">
        <f>IF(ISNUMBER((H13-W13+K13)/(F13)),(H13-W13+K13)/(F13)," - ")</f>
        <v>-1</v>
      </c>
      <c r="AR13" s="881">
        <f>IF(ISNUMBER((Datos!P13-Datos!Q13)/(Datos!R13-Datos!P13+Datos!Q13)),(Datos!P13-Datos!Q13)/(Datos!R13-Datos!P13+Datos!Q13)," - ")</f>
        <v>-8.1020862872189583E-3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2187</v>
      </c>
      <c r="G16" s="336">
        <f>IF(ISNUMBER(IF(D_I="SI",Datos!I16,Datos!I16+Datos!AC16)),IF(D_I="SI",Datos!I16,Datos!I16+Datos!AC16)," - ")</f>
        <v>2187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2665</v>
      </c>
      <c r="X16" s="229">
        <f>IF(ISNUMBER(Datos!Q16),Datos!Q16," - ")</f>
        <v>18</v>
      </c>
      <c r="Y16" s="337">
        <f t="shared" ref="Y16:Y17" si="7">SUM(W16:X16)</f>
        <v>2683</v>
      </c>
      <c r="Z16" s="338" t="str">
        <f>IF(ISNUMBER(Datos!CC16),Datos!CC16," - ")</f>
        <v xml:space="preserve"> - </v>
      </c>
      <c r="AA16" s="335">
        <f>IF(ISNUMBER(IF(D_I="SI",Datos!L16,Datos!L16+Datos!AF16)),IF(D_I="SI",Datos!L16,Datos!L16+Datos!AF16)," - ")</f>
        <v>2341</v>
      </c>
      <c r="AB16" s="337">
        <f>IF(ISNUMBER(Datos!R16),Datos!R16," - ")</f>
        <v>80</v>
      </c>
      <c r="AC16" s="337">
        <f t="shared" si="6"/>
        <v>2421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175</v>
      </c>
      <c r="AJ16" s="234" t="str">
        <f>IF(ISNUMBER(Datos!BW16),Datos!BW16," - ")</f>
        <v xml:space="preserve"> - </v>
      </c>
      <c r="AK16" s="235" t="str">
        <f>IF(ISNUMBER(Datos!BX16),Datos!BX16," - ")</f>
        <v xml:space="preserve"> - </v>
      </c>
      <c r="AL16" s="246">
        <f>IF(ISNUMBER(NºAsuntos!G16/NºAsuntos!E16),NºAsuntos!G16/NºAsuntos!E16," - ")</f>
        <v>0.94537069882937208</v>
      </c>
      <c r="AM16" s="263">
        <f>IF(ISNUMBER(((NºAsuntos!I16/NºAsuntos!G16)*11)/factor_trimestre),((NºAsuntos!I16/NºAsuntos!G16)*11)/factor_trimestre," - ")</f>
        <v>2.6352720450281426</v>
      </c>
      <c r="AN16" s="247">
        <f>IF(ISNUMBER('Resol  Asuntos'!D16/NºAsuntos!G16),'Resol  Asuntos'!D16/NºAsuntos!G16," - ")</f>
        <v>6.5666041275797379E-2</v>
      </c>
      <c r="AO16" s="248">
        <f>IF(ISNUMBER((NºAsuntos!C16+NºAsuntos!E16)/NºAsuntos!G16),(NºAsuntos!C16+NºAsuntos!E16)/NºAsuntos!G16," - ")</f>
        <v>1.8784240150093809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127</v>
      </c>
      <c r="X17" s="229">
        <f>IF(ISNUMBER(Datos!Q17),Datos!Q17," - ")</f>
        <v>5</v>
      </c>
      <c r="Y17" s="337">
        <f t="shared" si="7"/>
        <v>132</v>
      </c>
      <c r="Z17" s="338" t="str">
        <f>IF(ISNUMBER(Datos!CC17),Datos!CC17," - ")</f>
        <v xml:space="preserve"> - </v>
      </c>
      <c r="AA17" s="335">
        <f>IF(ISNUMBER(Datos!L17),Datos!L17,"-")</f>
        <v>68</v>
      </c>
      <c r="AB17" s="337">
        <f>IF(ISNUMBER(Datos!R17),Datos!R17," - ")</f>
        <v>2</v>
      </c>
      <c r="AC17" s="337">
        <f t="shared" si="6"/>
        <v>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0.9921875</v>
      </c>
      <c r="AM17" s="263">
        <f>IF(ISNUMBER(((NºAsuntos!I17/NºAsuntos!G17)*11)/factor_trimestre),((NºAsuntos!I17/NºAsuntos!G17)*11)/factor_trimestre," - ")</f>
        <v>1.6062992125984252</v>
      </c>
      <c r="AN17" s="247">
        <f>IF(ISNUMBER('Resol  Asuntos'!D17/NºAsuntos!G17),'Resol  Asuntos'!D17/NºAsuntos!G17," - ")</f>
        <v>0.14960629921259844</v>
      </c>
      <c r="AO17" s="248">
        <f>IF(ISNUMBER((NºAsuntos!C17+NºAsuntos!E17)/NºAsuntos!G17),(NºAsuntos!C17+NºAsuntos!E17)/NºAsuntos!G17," - ")</f>
        <v>1.5354330708661417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2187</v>
      </c>
      <c r="G18" s="869">
        <f>SUBTOTAL(9,G15:G17)</f>
        <v>2254</v>
      </c>
      <c r="H18" s="868">
        <f t="shared" ref="H18:O18" si="10">SUBTOTAL(9,H14:H17)</f>
        <v>0</v>
      </c>
      <c r="I18" s="870">
        <f t="shared" si="10"/>
        <v>0</v>
      </c>
      <c r="J18" s="870">
        <f t="shared" si="10"/>
        <v>0</v>
      </c>
      <c r="K18" s="870">
        <f t="shared" si="10"/>
        <v>0</v>
      </c>
      <c r="L18" s="870">
        <f t="shared" si="10"/>
        <v>23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2792</v>
      </c>
      <c r="X18" s="870">
        <f t="shared" si="11"/>
        <v>23</v>
      </c>
      <c r="Y18" s="871">
        <f t="shared" si="11"/>
        <v>2815</v>
      </c>
      <c r="Z18" s="871">
        <f t="shared" si="11"/>
        <v>0</v>
      </c>
      <c r="AA18" s="871">
        <f t="shared" si="11"/>
        <v>2409</v>
      </c>
      <c r="AB18" s="871">
        <f t="shared" si="11"/>
        <v>82</v>
      </c>
      <c r="AC18" s="871">
        <f t="shared" si="11"/>
        <v>2491</v>
      </c>
      <c r="AD18" s="871">
        <f t="shared" si="11"/>
        <v>0</v>
      </c>
      <c r="AE18" s="875">
        <f t="shared" si="11"/>
        <v>0</v>
      </c>
      <c r="AF18" s="868">
        <f t="shared" si="11"/>
        <v>0</v>
      </c>
      <c r="AG18" s="876">
        <f t="shared" si="11"/>
        <v>0</v>
      </c>
      <c r="AH18" s="873">
        <f t="shared" si="11"/>
        <v>0</v>
      </c>
      <c r="AI18" s="868">
        <f t="shared" si="11"/>
        <v>194</v>
      </c>
      <c r="AJ18" s="870">
        <f t="shared" si="11"/>
        <v>0</v>
      </c>
      <c r="AK18" s="873">
        <f t="shared" si="11"/>
        <v>0</v>
      </c>
      <c r="AL18" s="877">
        <f>IF(ISNUMBER(NºAsuntos!G18/NºAsuntos!E18),NºAsuntos!G18/NºAsuntos!E18," - ")</f>
        <v>0.94740413980318972</v>
      </c>
      <c r="AM18" s="877">
        <f>IF(ISNUMBER(((NºAsuntos!I18/NºAsuntos!G18)*11)/factor_trimestre),((NºAsuntos!I18/NºAsuntos!G18)*11)/factor_trimestre," - ")</f>
        <v>2.5884670487106018</v>
      </c>
      <c r="AN18" s="878">
        <f>IF(ISNUMBER('Resol  Asuntos'!D18/NºAsuntos!G18),'Resol  Asuntos'!D18/NºAsuntos!G18," - ")</f>
        <v>6.9484240687679083E-2</v>
      </c>
      <c r="AO18" s="879">
        <f>IF(ISNUMBER((NºAsuntos!C18+NºAsuntos!E18)/NºAsuntos!G18),(NºAsuntos!C18+NºAsuntos!E18)/NºAsuntos!G18," - ")</f>
        <v>1.8628223495702005</v>
      </c>
      <c r="AP18" s="880" t="str">
        <f t="shared" si="2"/>
        <v xml:space="preserve"> - </v>
      </c>
      <c r="AQ18" s="880">
        <f>IF(ISNUMBER((H18-W18+K18)/(F18)),(H18-W18+K18)/(F18)," - ")</f>
        <v>-1.2766346593507087</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2194</v>
      </c>
      <c r="G19" s="824">
        <f t="shared" si="13"/>
        <v>2261</v>
      </c>
      <c r="H19" s="823">
        <f t="shared" si="13"/>
        <v>0</v>
      </c>
      <c r="I19" s="825">
        <f t="shared" si="13"/>
        <v>0</v>
      </c>
      <c r="J19" s="825">
        <f t="shared" si="13"/>
        <v>0</v>
      </c>
      <c r="K19" s="884">
        <f t="shared" si="13"/>
        <v>0</v>
      </c>
      <c r="L19" s="825">
        <f t="shared" si="13"/>
        <v>245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2799</v>
      </c>
      <c r="X19" s="824">
        <f t="shared" si="14"/>
        <v>285</v>
      </c>
      <c r="Y19" s="831">
        <f t="shared" si="14"/>
        <v>3084</v>
      </c>
      <c r="Z19" s="831">
        <f t="shared" si="14"/>
        <v>0</v>
      </c>
      <c r="AA19" s="831">
        <f t="shared" si="14"/>
        <v>2416</v>
      </c>
      <c r="AB19" s="831">
        <f t="shared" si="14"/>
        <v>4979</v>
      </c>
      <c r="AC19" s="831">
        <f t="shared" si="14"/>
        <v>2498</v>
      </c>
      <c r="AD19" s="831">
        <f t="shared" si="14"/>
        <v>0</v>
      </c>
      <c r="AE19" s="833">
        <f t="shared" si="14"/>
        <v>0</v>
      </c>
      <c r="AF19" s="834">
        <f t="shared" si="14"/>
        <v>0</v>
      </c>
      <c r="AG19" s="835">
        <f t="shared" si="14"/>
        <v>0</v>
      </c>
      <c r="AH19" s="833">
        <f t="shared" si="14"/>
        <v>0</v>
      </c>
      <c r="AI19" s="823">
        <f t="shared" si="14"/>
        <v>528</v>
      </c>
      <c r="AJ19" s="823">
        <f t="shared" si="14"/>
        <v>0</v>
      </c>
      <c r="AK19" s="833">
        <f t="shared" si="14"/>
        <v>0</v>
      </c>
      <c r="AL19" s="887">
        <f>IF(ISNUMBER(NºAsuntos!G19/NºAsuntos!E19),NºAsuntos!G19/NºAsuntos!E19," - ")</f>
        <v>0.97837415320479415</v>
      </c>
      <c r="AM19" s="888">
        <f>IF(ISNUMBER(((NºAsuntos!I19/NºAsuntos!G19)*11)/factor_trimestre),((NºAsuntos!I19/NºAsuntos!G19)*11)/factor_trimestre," - ")</f>
        <v>4.7752330226364856</v>
      </c>
      <c r="AN19" s="888">
        <f>IF(ISNUMBER('Resol  Asuntos'!D19/NºAsuntos!G19),'Resol  Asuntos'!D19/NºAsuntos!G19," - ")</f>
        <v>0.14061251664447402</v>
      </c>
      <c r="AO19" s="889">
        <f>IF(ISNUMBER((NºAsuntos!C19+NºAsuntos!E19)/NºAsuntos!G19),(NºAsuntos!C19+NºAsuntos!E19)/NºAsuntos!G19," - ")</f>
        <v>2.5917443408788281</v>
      </c>
      <c r="AP19" s="890" t="str">
        <f t="shared" si="2"/>
        <v xml:space="preserve"> - </v>
      </c>
      <c r="AQ19" s="891">
        <f>IF(OR(ISNUMBER(FIND("01",Criterios!A8,1)),ISNUMBER(FIND("02",Criterios!A8,1)),ISNUMBER(FIND("03",Criterios!A8,1)),ISNUMBER(FIND("04",Criterios!A8,1))),(I19-W19+K19)/(F19-K19),(H19-W19+K19)/(F19-K19))</f>
        <v>-1.2757520510483136</v>
      </c>
      <c r="AR19" s="892">
        <f>IF(ISNUMBER((Datos!P19-Datos!Q19)/(Datos!R19-Datos!P19+Datos!Q19)),(Datos!P19-Datos!Q19)/(Datos!R19-Datos!P19+Datos!Q19)," - ")</f>
        <v>-7.9697150826857945E-3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904.4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1258.623586833384</v>
      </c>
      <c r="G21" s="256">
        <f>IF(ISNUMBER(STDEV(G8:G18)),STDEV(G8:G18),"-")</f>
        <v>1201.9125592155197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1470.2206637100433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143.23965931263589</v>
      </c>
      <c r="AJ21" s="255">
        <f t="shared" si="18"/>
        <v>0</v>
      </c>
      <c r="AK21" s="257">
        <f t="shared" si="18"/>
        <v>0</v>
      </c>
      <c r="AL21" s="252">
        <f t="shared" si="18"/>
        <v>6.0998099955695037E-2</v>
      </c>
      <c r="AM21" s="253">
        <f t="shared" si="18"/>
        <v>4.5099620514355392</v>
      </c>
      <c r="AN21" s="253">
        <f t="shared" si="18"/>
        <v>0.24674953272158745</v>
      </c>
      <c r="AO21" s="254">
        <f t="shared" si="18"/>
        <v>1.5033206838118451</v>
      </c>
      <c r="AP21" s="294" t="str">
        <f t="shared" si="18"/>
        <v>-</v>
      </c>
      <c r="AQ21" s="295">
        <f t="shared" si="18"/>
        <v>0.19561024353811687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xusF+2UjfXWxgn6uscY6v8CgI7fzcrSbSX6xawP59IVoQNU727oXiPgJdOCZQt4GEMOB8AeuCvpK6RXmp19Sw==" saltValue="azPHntaL0DyGzyBVhUOA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VELEZ-MALAGA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-0.22222222222222221</v>
      </c>
      <c r="E10" s="351">
        <f>IF(ISNUMBER((Datos!J10-Datos!T10)/Datos!T10),(Datos!J10-Datos!T10)/Datos!T10," - ")</f>
        <v>6</v>
      </c>
      <c r="F10" s="351">
        <f>IF(ISNUMBER((Datos!K10-Datos!U10)/Datos!U10),(Datos!K10-Datos!U10)/Datos!U10," - ")</f>
        <v>2.5</v>
      </c>
      <c r="G10" s="352">
        <f>IF(ISNUMBER((Datos!L10-Datos!V10)/Datos!V10),(Datos!L10-Datos!V10)/Datos!V10," - ")</f>
        <v>-0.125</v>
      </c>
      <c r="H10" s="233">
        <f>IF(ISNUMBER((Datos!M10-Datos!W10)/Datos!W10),(Datos!M10-Datos!W10)/Datos!W10," - ")</f>
        <v>1.5</v>
      </c>
      <c r="I10" s="353">
        <f>IF(ISNUMBER((Tasas!C10-Datos!BE10)/Datos!BE10),(Tasas!C10-Datos!BE10)/Datos!BE10," - ")</f>
        <v>-0.75</v>
      </c>
      <c r="J10" s="352">
        <f>IF(ISNUMBER((Tasas!D10-Datos!BF10)/Datos!BF10),(Tasas!D10-Datos!BF10)/Datos!BF10," - ")</f>
        <v>-0.2857142857142857</v>
      </c>
      <c r="K10" s="354">
        <f>IF(ISNUMBER((Tasas!E10-Datos!BG10)/Datos!BG10),(Tasas!E10-Datos!BG10)/Datos!BG10," - ")</f>
        <v>-0.6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0.19202898550724637</v>
      </c>
      <c r="I12" s="353">
        <f>IF(ISNUMBER((Tasas!C12-Datos!BE12)/Datos!BE12),(Tasas!C12-Datos!BE12)/Datos!BE12," - ")</f>
        <v>0.68433290716204764</v>
      </c>
      <c r="J12" s="352">
        <f>IF(ISNUMBER((Tasas!D12-Datos!BF12)/Datos!BF12),(Tasas!D12-Datos!BF12)/Datos!BF12," - ")</f>
        <v>-2.0962167662254495E-2</v>
      </c>
      <c r="K12" s="354">
        <f>IF(ISNUMBER((Tasas!E12-Datos!BG12)/Datos!BG12),(Tasas!E12-Datos!BG12)/Datos!BG12," - ")</f>
        <v>0.85041357991148814</v>
      </c>
      <c r="M12" t="e">
        <f>IF(Monitorios="SI",Datos!CE12,0)</f>
        <v>#REF!</v>
      </c>
      <c r="N12" t="e">
        <f>IF(Monitorios="SI",Datos!CF12,0)</f>
        <v>#REF!</v>
      </c>
      <c r="O12" t="e">
        <f>IF(Monitorios="SI",Datos!CG12,0)</f>
        <v>#REF!</v>
      </c>
      <c r="P12" t="e">
        <f>IF(Monitorios="SI",Datos!CH12,0)</f>
        <v>#REF!</v>
      </c>
      <c r="Q12">
        <f>IF(J_V="SI",0,Datos!AG12)</f>
        <v>100</v>
      </c>
      <c r="R12">
        <f>IF(J_V="SI",0,Datos!AH12)</f>
        <v>79</v>
      </c>
      <c r="S12">
        <f>IF(J_V="SI",0,Datos!AI12)</f>
        <v>105</v>
      </c>
      <c r="T12">
        <f>IF(J_V="SI",0,Datos!AJ12)</f>
        <v>86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0.20143884892086331</v>
      </c>
      <c r="I13" s="360">
        <f>IF(ISNUMBER((Tasas!C13-Datos!BE13)/Datos!BE13),(Tasas!C13-Datos!BE13)/Datos!BE13," - ")</f>
        <v>0.67338482993387427</v>
      </c>
      <c r="J13" s="358">
        <f>IF(ISNUMBER((Tasas!D13-Datos!BF13)/Datos!BF13),(Tasas!D13-Datos!BF13)/Datos!BF13," - ")</f>
        <v>-1.5979552416443873E-2</v>
      </c>
      <c r="K13" s="361">
        <f>IF(ISNUMBER((Tasas!E13-Datos!BG13)/Datos!BG13),(Tasas!E13-Datos!BG13)/Datos!BG13," - ")</f>
        <v>0.84006185705641079</v>
      </c>
      <c r="M13" t="e">
        <f>IF(Monitorios="SI",Datos!CE13,0)</f>
        <v>#REF!</v>
      </c>
      <c r="N13" t="e">
        <f>IF(Monitorios="SI",Datos!CF13,0)</f>
        <v>#REF!</v>
      </c>
      <c r="O13" t="e">
        <f>IF(Monitorios="SI",Datos!CG13,0)</f>
        <v>#REF!</v>
      </c>
      <c r="P13" t="e">
        <f>IF(Monitorios="SI",Datos!CH13,0)</f>
        <v>#REF!</v>
      </c>
      <c r="Q13">
        <f>IF(J_V="SI",0,Datos!AG13)</f>
        <v>100</v>
      </c>
      <c r="R13">
        <f>IF(J_V="SI",0,Datos!AH13)</f>
        <v>79</v>
      </c>
      <c r="S13">
        <f>IF(J_V="SI",0,Datos!AI13)</f>
        <v>105</v>
      </c>
      <c r="T13">
        <f>IF(J_V="SI",0,Datos!AJ13)</f>
        <v>86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0.50827586206896547</v>
      </c>
      <c r="E16" s="351">
        <f>IF(ISNUMBER(
   IF(D_I="SI",(Datos!J16-Datos!T16)/Datos!T16,(Datos!J16+Datos!AD16-(Datos!T16+Datos!AL16))/(Datos!T16+Datos!AL16))
     ),IF(D_I="SI",(Datos!J16-Datos!T16)/Datos!T16,(Datos!J16+Datos!AD16-(Datos!T16+Datos!AL16))/(Datos!T16+Datos!AL16))," - ")</f>
        <v>-9.7919999999999993E-2</v>
      </c>
      <c r="F16" s="351">
        <f>IF(ISNUMBER(
   IF(D_I="SI",(Datos!K16-Datos!U16)/Datos!U16,(Datos!K16+Datos!AE16-(Datos!U16+Datos!AM16))/(Datos!U16+Datos!AM16))
     ),IF(D_I="SI",(Datos!K16-Datos!U16)/Datos!U16,(Datos!K16+Datos!AE16-(Datos!U16+Datos!AM16))/(Datos!U16+Datos!AM16))," - ")</f>
        <v>-0.1051040967092008</v>
      </c>
      <c r="G16" s="352">
        <f>IF(ISNUMBER(
   IF(D_I="SI",(Datos!L16-Datos!V16)/Datos!V16,(Datos!L16+Datos!AF16-(Datos!V16+Datos!AN16))/(Datos!V16+Datos!AN16))
     ),IF(D_I="SI",(Datos!L16-Datos!V16)/Datos!V16,(Datos!L16+Datos!AF16-(Datos!V16+Datos!AN16))/(Datos!V16+Datos!AN16))," - ")</f>
        <v>0.41707021791767557</v>
      </c>
      <c r="H16" s="233">
        <f>IF(ISNUMBER((Datos!M16-Datos!W16)/Datos!W16),(Datos!M16-Datos!W16)/Datos!W16," - ")</f>
        <v>0.48305084745762711</v>
      </c>
      <c r="I16" s="353">
        <f>IF(ISNUMBER((Tasas!C16-Datos!BE16)/Datos!BE16),(Tasas!C16-Datos!BE16)/Datos!BE16," - ")</f>
        <v>0.58350285514402911</v>
      </c>
      <c r="J16" s="352">
        <f>IF(ISNUMBER((Tasas!D16-Datos!BF16)/Datos!BF16),(Tasas!D16-Datos!BF16)/Datos!BF16," - ")</f>
        <v>0.6572328044010558</v>
      </c>
      <c r="K16" s="354">
        <f>IF(ISNUMBER((Tasas!E16-Datos!BG16)/Datos!BG16),(Tasas!E16-Datos!BG16)/Datos!BG16," - ")</f>
        <v>0.22272059381375661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-1.4705882352941176E-2</v>
      </c>
      <c r="E17" s="351">
        <f>IF(ISNUMBER(
   IF(D_I="SI",(Datos!J17-Datos!T17)/Datos!T17,(Datos!J17+Datos!AD17-(Datos!T17+Datos!AL17))/(Datos!T17+Datos!AL17))
     ),IF(D_I="SI",(Datos!J17-Datos!T17)/Datos!T17,(Datos!J17+Datos!AD17-(Datos!T17+Datos!AL17))/(Datos!T17+Datos!AL17))," - ")</f>
        <v>0.21904761904761905</v>
      </c>
      <c r="F17" s="351">
        <f>IF(ISNUMBER(
   IF(D_I="SI",(Datos!K17-Datos!U17)/Datos!U17,(Datos!K17+Datos!AE17-(Datos!U17+Datos!AM17))/(Datos!U17+Datos!AM17))
     ),IF(D_I="SI",(Datos!K17-Datos!U17)/Datos!U17,(Datos!K17+Datos!AE17-(Datos!U17+Datos!AM17))/(Datos!U17+Datos!AM17))," - ")</f>
        <v>0.39560439560439559</v>
      </c>
      <c r="G17" s="352">
        <f>IF(ISNUMBER(
   IF(D_I="SI",(Datos!L17-Datos!V17)/Datos!V17,(Datos!L17+Datos!AF17-(Datos!V17+Datos!AN17))/(Datos!V17+Datos!AN17))
     ),IF(D_I="SI",(Datos!L17-Datos!V17)/Datos!V17,(Datos!L17+Datos!AF17-(Datos!V17+Datos!AN17))/(Datos!V17+Datos!AN17))," - ")</f>
        <v>-0.17073170731707318</v>
      </c>
      <c r="H17" s="233">
        <f>IF(ISNUMBER((Datos!M17-Datos!W17)/Datos!W17),(Datos!M17-Datos!W17)/Datos!W17," - ")</f>
        <v>0.58333333333333337</v>
      </c>
      <c r="I17" s="353">
        <f>IF(ISNUMBER((Tasas!C17-Datos!BE17)/Datos!BE17),(Tasas!C17-Datos!BE17)/Datos!BE17," - ")</f>
        <v>-0.40579988477050122</v>
      </c>
      <c r="J17" s="352">
        <f>IF(ISNUMBER((Tasas!D17-Datos!BF17)/Datos!BF17),(Tasas!D17-Datos!BF17)/Datos!BF17," - ")</f>
        <v>0.13451443569553811</v>
      </c>
      <c r="K17" s="354">
        <f>IF(ISNUMBER((Tasas!E17-Datos!BG17)/Datos!BG17),(Tasas!E17-Datos!BG17)/Datos!BG17," - ")</f>
        <v>-0.19234445405306996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0.48484848484848486</v>
      </c>
      <c r="E18" s="357">
        <f>IF(ISNUMBER(
   IF(D_I="SI",(Datos!J18-Datos!T18)/Datos!T18,(Datos!J18+Datos!AD18-(Datos!T18+Datos!AL18))/(Datos!T18+Datos!AL18))
     ),IF(D_I="SI",(Datos!J18-Datos!T18)/Datos!T18,(Datos!J18+Datos!AD18-(Datos!T18+Datos!AL18))/(Datos!T18+Datos!AL18))," - ")</f>
        <v>-8.7616099071207432E-2</v>
      </c>
      <c r="F18" s="357">
        <f>IF(ISNUMBER(
   IF(D_I="SI",(Datos!K18-Datos!U18)/Datos!U18,(Datos!K18+Datos!AE18-(Datos!U18+Datos!AM18))/(Datos!U18+Datos!AM18))
     ),IF(D_I="SI",(Datos!K18-Datos!U18)/Datos!U18,(Datos!K18+Datos!AE18-(Datos!U18+Datos!AM18))/(Datos!U18+Datos!AM18))," - ")</f>
        <v>-9.0257412838057993E-2</v>
      </c>
      <c r="G18" s="358">
        <f>IF(ISNUMBER(
   IF(D_I="SI",(Datos!L18-Datos!V18)/Datos!V18,(Datos!L18+Datos!AF18-(Datos!V18+Datos!AN18))/(Datos!V18+Datos!AN18))
     ),IF(D_I="SI",(Datos!L18-Datos!V18)/Datos!V18,(Datos!L18+Datos!AF18-(Datos!V18+Datos!AN18))/(Datos!V18+Datos!AN18))," - ")</f>
        <v>0.38927335640138411</v>
      </c>
      <c r="H18" s="359">
        <f>IF(ISNUMBER((Datos!M18-Datos!W18)/Datos!W18),(Datos!M18-Datos!W18)/Datos!W18," - ")</f>
        <v>0.49230769230769234</v>
      </c>
      <c r="I18" s="360">
        <f>IF(ISNUMBER((Tasas!C18-Datos!BE18)/Datos!BE18),(Tasas!C18-Datos!BE18)/Datos!BE18," - ")</f>
        <v>0.52710599240538936</v>
      </c>
      <c r="J18" s="358">
        <f>IF(ISNUMBER((Tasas!D18-Datos!BF18)/Datos!BF18),(Tasas!D18-Datos!BF18)/Datos!BF18," - ")</f>
        <v>0.6403625743883623</v>
      </c>
      <c r="K18" s="361">
        <f>IF(ISNUMBER((Tasas!E18-Datos!BG18)/Datos!BG18),(Tasas!E18-Datos!BG18)/Datos!BG18," - ")</f>
        <v>0.20408630809413333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0.48463476070528966</v>
      </c>
      <c r="E19" s="366">
        <f>IF(ISNUMBER(
   IF(J_V="SI",(Datos!J19-Datos!T19)/Datos!T19,(Datos!J19+Datos!Z19-(Datos!T19+Datos!AH19))/(Datos!T19+Datos!AH19))
     ),IF(J_V="SI",(Datos!J19-Datos!T19)/Datos!T19,(Datos!J19+Datos!Z19-(Datos!T19+Datos!AH19))/(Datos!T19+Datos!AH19))," - ")</f>
        <v>-9.7578180108158941E-2</v>
      </c>
      <c r="F19" s="366">
        <f>IF(ISNUMBER(
   IF(J_V="SI",(Datos!K19-Datos!U19)/Datos!U19,(Datos!K19+Datos!AA19-(Datos!U19+Datos!AI19))/(Datos!U19+Datos!AI19))
     ),IF(J_V="SI",(Datos!K19-Datos!U19)/Datos!U19,(Datos!K19+Datos!AA19-(Datos!U19+Datos!AI19))/(Datos!U19+Datos!AI19))," - ")</f>
        <v>-0.15198735320686541</v>
      </c>
      <c r="G19" s="367">
        <f>IF(ISNUMBER(
   IF(J_V="SI",(Datos!L19-Datos!V19)/Datos!V19,(Datos!L19+Datos!AB19-(Datos!V19+Datos!AJ19))/(Datos!V19+Datos!AJ19))
     ),IF(J_V="SI",(Datos!L19-Datos!V19)/Datos!V19,(Datos!L19+Datos!AB19-(Datos!V19+Datos!AJ19))/(Datos!V19+Datos!AJ19))," - ")</f>
        <v>0.26017288635884461</v>
      </c>
      <c r="H19" s="368">
        <f>IF(ISNUMBER((Datos!M19-Datos!W19)/Datos!W19),(Datos!M19-Datos!W19)/Datos!W19," - ")</f>
        <v>0.29411764705882354</v>
      </c>
      <c r="I19" s="365">
        <f>IF(ISNUMBER((Tasas!C19-Datos!BE19)/Datos!BE19),(Tasas!C19-Datos!BE19)/Datos!BE19," - ")</f>
        <v>0.48603076985272031</v>
      </c>
      <c r="J19" s="366">
        <f>IF(ISNUMBER((Tasas!D19-Datos!BF19)/Datos!BF19),(Tasas!D19-Datos!BF19)/Datos!BF19," - ")</f>
        <v>2.2384603779525416E-2</v>
      </c>
      <c r="K19" s="367">
        <f>IF(ISNUMBER((Tasas!E19-Datos!BG19)/Datos!BG19),(Tasas!E19-Datos!BG19)/Datos!BG19," - ")</f>
        <v>0.39562737947360466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0.36517721497643391</v>
      </c>
      <c r="E21" s="281">
        <f t="shared" si="1"/>
        <v>2.9980233182996243</v>
      </c>
      <c r="F21" s="281">
        <f t="shared" si="1"/>
        <v>1.2386643611316792</v>
      </c>
      <c r="G21" s="282">
        <f t="shared" si="1"/>
        <v>0.31889105186593403</v>
      </c>
      <c r="H21" s="288">
        <f t="shared" si="1"/>
        <v>0.48108233453265126</v>
      </c>
      <c r="I21" s="280">
        <f t="shared" si="1"/>
        <v>0.62930556272236038</v>
      </c>
      <c r="J21" s="281">
        <f t="shared" si="1"/>
        <v>0.3840033260172514</v>
      </c>
      <c r="K21" s="282">
        <f t="shared" si="1"/>
        <v>0.57001447710347519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3nOJ8BRbGTCiIi+tgRxv43sdAkP0cWk/qyGN+JCSRp1W6ANR0nXy7oGX4po16IY1FRsCqcb6ylAs9Z2JJDumw==" saltValue="XNa/JFbpo3FCWCXlNnCg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